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ammmh\Downloads\"/>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5200" windowHeight="114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7" i="5"/>
  <c r="C7" i="5"/>
  <c r="V7" i="5" s="1"/>
  <c r="B8" i="5"/>
  <c r="C8" i="5"/>
  <c r="V8" i="5" s="1"/>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J7"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E177" i="5"/>
  <c r="X177" i="5" s="1"/>
  <c r="E181" i="5"/>
  <c r="X181" i="5" s="1"/>
  <c r="H189"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c r="B59" i="6"/>
  <c r="G59" i="6" s="1"/>
  <c r="B58" i="6"/>
  <c r="G58" i="6" s="1"/>
  <c r="B56" i="6"/>
  <c r="G56" i="6" s="1"/>
  <c r="B55" i="6"/>
  <c r="G55" i="6"/>
  <c r="B54" i="6"/>
  <c r="G54" i="6" s="1"/>
  <c r="B53" i="6"/>
  <c r="G53" i="6" s="1"/>
  <c r="B50" i="6"/>
  <c r="G50" i="6" s="1"/>
  <c r="H14" i="6"/>
  <c r="H61" i="4"/>
  <c r="B86" i="4"/>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E79" i="5"/>
  <c r="X79" i="5" s="1"/>
  <c r="G237" i="5"/>
  <c r="R93" i="5"/>
  <c r="E23" i="5"/>
  <c r="X23" i="5" s="1"/>
  <c r="F117" i="5"/>
  <c r="B23" i="6" l="1"/>
  <c r="B48" i="6" s="1"/>
  <c r="B33" i="6"/>
  <c r="F23" i="6"/>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F1243" i="5"/>
  <c r="I283" i="5"/>
  <c r="E975" i="5"/>
  <c r="X975" i="5" s="1"/>
  <c r="R1367" i="5"/>
  <c r="E807" i="5"/>
  <c r="X807" i="5" s="1"/>
  <c r="H967" i="5"/>
  <c r="F267" i="5"/>
  <c r="R907" i="5"/>
  <c r="I927" i="5"/>
  <c r="H535" i="5"/>
  <c r="G711" i="5"/>
  <c r="H775" i="5"/>
  <c r="R735" i="5"/>
  <c r="I607"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H53" i="5"/>
  <c r="R703" i="5"/>
  <c r="I21" i="5"/>
  <c r="I61" i="5"/>
  <c r="J171" i="5"/>
  <c r="I403" i="5"/>
  <c r="J567" i="5"/>
  <c r="I651"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B5" i="5" l="1"/>
  <c r="C5" i="5"/>
  <c r="C6" i="5"/>
  <c r="B6" i="5"/>
  <c r="B28" i="6"/>
  <c r="C12" i="6"/>
  <c r="G23" i="6"/>
  <c r="H23" i="6" s="1"/>
  <c r="D23" i="6" s="1"/>
  <c r="B43" i="6"/>
  <c r="B38" i="6"/>
  <c r="C9" i="6"/>
  <c r="C13" i="6"/>
  <c r="C11" i="6"/>
  <c r="C10" i="6"/>
  <c r="C8" i="6"/>
  <c r="C7" i="6"/>
  <c r="C5" i="6"/>
  <c r="C4"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G40" i="6" s="1"/>
  <c r="F26" i="6"/>
  <c r="F41" i="6" s="1"/>
  <c r="B30" i="6"/>
  <c r="B41" i="6"/>
  <c r="G41" i="6" s="1"/>
  <c r="H41" i="6" s="1"/>
  <c r="F63" i="6"/>
  <c r="F36" i="6"/>
  <c r="G21" i="6"/>
  <c r="H21" i="6" s="1"/>
  <c r="B26" i="6"/>
  <c r="G26" i="6" s="1"/>
  <c r="H26" i="6" s="1"/>
  <c r="C26" i="6" s="1"/>
  <c r="B36" i="6"/>
  <c r="B46" i="6"/>
  <c r="G46" i="6" s="1"/>
  <c r="G31" i="6"/>
  <c r="H22" i="6"/>
  <c r="D22" i="6" s="1"/>
  <c r="G47" i="6"/>
  <c r="G42" i="6"/>
  <c r="K65" i="6"/>
  <c r="G27" i="6"/>
  <c r="G32" i="6"/>
  <c r="G45" i="6"/>
  <c r="G43" i="6"/>
  <c r="G38" i="6"/>
  <c r="G35" i="6"/>
  <c r="G28" i="6"/>
  <c r="G33" i="6"/>
  <c r="G37" i="6"/>
  <c r="G25" i="6"/>
  <c r="H25" i="6" s="1"/>
  <c r="G30" i="6"/>
  <c r="G48" i="6"/>
  <c r="F28"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AB6" i="5" l="1"/>
  <c r="V6" i="5"/>
  <c r="G6" i="5" s="1"/>
  <c r="V5" i="5"/>
  <c r="G5" i="5" s="1"/>
  <c r="AB5" i="5"/>
  <c r="C23" i="6"/>
  <c r="D20" i="6"/>
  <c r="K62" i="6"/>
  <c r="C62" i="6" s="1"/>
  <c r="F45" i="6"/>
  <c r="H45" i="6" s="1"/>
  <c r="F62" i="6"/>
  <c r="B2" i="6" s="1"/>
  <c r="F40" i="6"/>
  <c r="F35" i="6"/>
  <c r="H35" i="6" s="1"/>
  <c r="F30" i="6"/>
  <c r="H30" i="6" s="1"/>
  <c r="H40" i="6"/>
  <c r="D40" i="6" s="1"/>
  <c r="F46" i="6"/>
  <c r="H46" i="6" s="1"/>
  <c r="F31" i="6"/>
  <c r="H31" i="6" s="1"/>
  <c r="D31" i="6" s="1"/>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I5" i="5" l="1"/>
  <c r="R5" i="5"/>
  <c r="F5" i="5"/>
  <c r="E5" i="5"/>
  <c r="J5" i="5"/>
  <c r="R6" i="5"/>
  <c r="F6" i="5"/>
  <c r="E6" i="5"/>
  <c r="J6" i="5"/>
  <c r="I6" i="5"/>
  <c r="D32" i="6"/>
  <c r="D35" i="6"/>
  <c r="C35" i="6"/>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 i="5"/>
  <c r="T6" i="5"/>
  <c r="H65" i="6" l="1"/>
  <c r="D65" i="6" s="1"/>
  <c r="C65" i="6"/>
  <c r="X6" i="5"/>
  <c r="X5" i="5"/>
  <c r="G66" i="6"/>
  <c r="H66" i="6" s="1"/>
  <c r="H67" i="6" s="1"/>
  <c r="D2" i="6" s="1"/>
  <c r="D52" i="6"/>
  <c r="C52" i="6"/>
  <c r="D51" i="6"/>
  <c r="C51" i="6"/>
  <c r="S5" i="5"/>
  <c r="S6"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<sst xmlns="http://schemas.openxmlformats.org/spreadsheetml/2006/main" count="21645" uniqueCount="15442">
  <si>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</si>
  <si>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</si>
  <si>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</si>
  <si>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</si>
  <si>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</si>
  <si>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</si>
  <si>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</si>
  <si>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</si>
  <si>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</si>
  <si>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</si>
  <si>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</si>
  <si>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</si>
  <si>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</si>
  <si>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</si>
  <si>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</si>
  <si>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</si>
  <si>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</si>
  <si>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</si>
  <si>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</si>
  <si>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</si>
  <si>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</si>
  <si>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</si>
  <si>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</si>
  <si>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</si>
  <si>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</si>
  <si>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</si>
  <si>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</si>
  <si>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</si>
  <si>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</si>
  <si>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</si>
  <si>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</si>
  <si>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</si>
  <si>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</si>
  <si>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</si>
  <si>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</si>
  <si>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</si>
  <si>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</si>
  <si>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</si>
  <si>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</si>
  <si>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</si>
  <si>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</si>
  <si>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</si>
  <si>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</si>
  <si>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</si>
  <si>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</si>
  <si>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</si>
  <si>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</si>
  <si>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</si>
  <si>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</si>
  <si>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</si>
  <si>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</si>
  <si>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</si>
  <si>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</si>
  <si>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</si>
  <si>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</si>
  <si>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</si>
  <si>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</si>
  <si>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</si>
  <si>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</si>
  <si>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</si>
  <si>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</si>
  <si>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</si>
  <si>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</si>
  <si>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</si>
  <si>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</si>
  <si>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</si>
  <si>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</si>
  <si>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</si>
  <si>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</si>
  <si>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</si>
  <si>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</si>
  <si>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</si>
  <si>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</si>
  <si>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</si>
  <si>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</si>
  <si>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</si>
  <si>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</si>
  <si>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</si>
  <si>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</si>
  <si>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</si>
  <si>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</si>
  <si>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</si>
  <si>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</si>
  <si>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</si>
  <si>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</si>
  <si>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</si>
  <si>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</si>
  <si>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</si>
  <si>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</si>
  <si>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</si>
  <si>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</si>
  <si>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</si>
  <si>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</si>
  <si>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</si>
  <si>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</si>
  <si>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</si>
  <si>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</si>
  <si>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</si>
  <si>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</si>
  <si>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</si>
  <si>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</si>
  <si>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</si>
  <si>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</si>
  <si>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</si>
  <si>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</si>
  <si>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</si>
  <si>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</si>
  <si>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</si>
  <si>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</si>
  <si>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</si>
  <si>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</si>
  <si>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</si>
  <si>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</si>
  <si>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</si>
  <si>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</si>
  <si>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</si>
  <si>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</si>
  <si>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</si>
  <si>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</si>
  <si>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</si>
  <si>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</si>
  <si>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</si>
  <si>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</si>
  <si>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</si>
  <si>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</si>
  <si>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</si>
  <si>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</si>
  <si>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</si>
  <si>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</si>
  <si>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</si>
  <si>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</si>
  <si>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</si>
  <si>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</si>
  <si>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</si>
  <si>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</si>
  <si>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</si>
  <si>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</si>
  <si>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</si>
  <si>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</si>
  <si>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</si>
  <si>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</si>
  <si>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</si>
  <si>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</si>
  <si>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</si>
  <si>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</si>
  <si>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</si>
  <si>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</si>
  <si>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</si>
  <si>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</si>
  <si>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</si>
  <si>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</si>
  <si>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</si>
  <si>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</si>
  <si>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</si>
  <si>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</si>
  <si>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</si>
  <si>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</si>
  <si>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</si>
  <si>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</si>
  <si>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</si>
  <si>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</si>
  <si>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</si>
  <si>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</si>
  <si>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</si>
  <si>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</si>
  <si>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</si>
  <si>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</si>
  <si>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</si>
  <si>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</si>
  <si>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</si>
  <si>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</si>
  <si>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</si>
  <si>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</si>
  <si>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</si>
  <si>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</si>
  <si>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</si>
  <si>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</si>
  <si>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</si>
  <si>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</si>
  <si>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</si>
  <si>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</si>
  <si>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</si>
  <si>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</si>
  <si>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</si>
  <si>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</si>
  <si>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</si>
  <si>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</si>
  <si>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</si>
  <si>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</si>
  <si>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</si>
  <si>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</si>
  <si>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</si>
  <si>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</si>
  <si>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</si>
  <si>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</si>
  <si>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</si>
  <si>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</si>
  <si>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</si>
  <si>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</si>
  <si>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</si>
  <si>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</si>
  <si>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</si>
  <si>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</si>
  <si>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</si>
  <si>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</si>
  <si>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</si>
  <si>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</si>
  <si>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</si>
  <si>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</si>
  <si>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</si>
  <si>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</si>
  <si>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</si>
  <si>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</si>
  <si>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</si>
  <si>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</si>
  <si>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</si>
  <si>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</si>
  <si>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</si>
  <si>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</si>
  <si>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</si>
  <si>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</si>
  <si>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</si>
  <si>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</si>
  <si>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</si>
  <si>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</si>
  <si>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</si>
  <si>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</si>
  <si>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</si>
  <si>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</si>
  <si>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</si>
  <si>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</si>
  <si>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</si>
  <si>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</si>
  <si>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</si>
  <si>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</si>
  <si>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</si>
  <si>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</si>
  <si>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</si>
  <si>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</si>
  <si>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</si>
  <si>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</si>
  <si>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</si>
  <si>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</si>
  <si>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</si>
  <si>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</si>
  <si>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</si>
  <si>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</si>
  <si>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</si>
  <si>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</si>
  <si>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</si>
  <si>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</si>
  <si>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</si>
  <si>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</si>
  <si>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</si>
  <si>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</si>
  <si>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</si>
  <si>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</si>
  <si>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</si>
  <si>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</si>
  <si>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</si>
  <si>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</si>
  <si>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</si>
  <si>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</si>
  <si>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</si>
  <si>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</si>
  <si>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</si>
  <si>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</si>
  <si>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</si>
  <si>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</si>
  <si>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</si>
  <si>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</si>
  <si>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</si>
  <si>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</si>
  <si>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</si>
  <si>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</si>
  <si>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</si>
  <si>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</si>
  <si>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</si>
  <si>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</si>
  <si>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</si>
  <si>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</si>
  <si>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</si>
  <si>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</si>
  <si>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</si>
  <si>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</si>
  <si>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</si>
  <si>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</si>
  <si>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</si>
  <si>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</si>
  <si>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</si>
  <si>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</si>
  <si>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</si>
  <si>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</si>
  <si>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</si>
  <si>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</si>
  <si>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</si>
  <si>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</si>
  <si>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</si>
  <si>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</si>
  <si>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</si>
  <si>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</si>
  <si>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</si>
  <si>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</si>
  <si>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</si>
  <si>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</si>
  <si>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</si>
  <si>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</si>
  <si>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</si>
  <si>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</si>
  <si>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</si>
  <si>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</si>
  <si>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</si>
  <si>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</si>
  <si>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</si>
  <si>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</si>
  <si>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</si>
  <si>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</si>
  <si>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</si>
  <si>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</si>
  <si>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</si>
  <si>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</si>
  <si>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</si>
  <si>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</si>
  <si>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</si>
  <si>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</si>
  <si>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</si>
  <si>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</si>
  <si>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</si>
  <si>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</si>
  <si>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</si>
  <si>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</si>
  <si>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</si>
  <si>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</si>
  <si>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</si>
  <si>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</si>
  <si>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</si>
  <si>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</si>
  <si>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</si>
  <si>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</si>
  <si>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</si>
  <si>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</si>
  <si>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</si>
  <si>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</si>
  <si>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</si>
  <si>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</si>
  <si>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</si>
  <si>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</si>
  <si>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</si>
  <si>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</si>
  <si>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</si>
  <si>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</si>
  <si>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</si>
  <si>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</si>
  <si>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</si>
  <si>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</si>
  <si>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</si>
  <si>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</si>
  <si>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</si>
  <si>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</si>
  <si>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</si>
  <si>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</si>
  <si>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</si>
  <si>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</si>
  <si>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</si>
  <si>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</si>
  <si>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</si>
  <si>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</si>
  <si>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</si>
  <si>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</si>
  <si>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</si>
  <si>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</si>
  <si>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</si>
  <si>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</si>
  <si>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</si>
  <si>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</si>
  <si>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</si>
  <si>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</si>
  <si>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</si>
  <si>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</si>
  <si>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</si>
  <si>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</si>
  <si>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</si>
  <si>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</si>
  <si>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</si>
  <si>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</si>
  <si>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</si>
  <si>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</si>
  <si>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</si>
  <si>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</si>
  <si>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</si>
  <si>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</si>
  <si>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</si>
  <si>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</si>
  <si>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</si>
  <si>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</si>
  <si>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</si>
  <si>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</si>
  <si>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</si>
  <si>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</si>
  <si>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</si>
  <si>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</si>
  <si>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</si>
  <si>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</si>
  <si>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</si>
  <si>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</si>
  <si>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</si>
  <si>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</si>
  <si>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</si>
  <si>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</si>
  <si>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</si>
  <si>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</si>
  <si>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</si>
  <si>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</si>
  <si>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</si>
  <si>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</si>
  <si>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</si>
  <si>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</si>
  <si>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</si>
  <si>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</si>
  <si>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</si>
  <si>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</si>
  <si>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</si>
  <si>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</si>
  <si>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</si>
  <si>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</si>
  <si>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</si>
  <si>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</si>
  <si>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</si>
  <si>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</si>
  <si>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</si>
  <si>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</si>
  <si>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</si>
  <si>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</si>
  <si>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</si>
  <si>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</si>
  <si>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</si>
  <si>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</si>
  <si>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</si>
  <si>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</si>
  <si>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</si>
  <si>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</si>
  <si>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</si>
  <si>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</si>
  <si>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</si>
  <si>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</si>
  <si>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</si>
  <si>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</si>
  <si>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</si>
  <si>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</si>
  <si>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</si>
  <si>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</si>
  <si>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</si>
  <si>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</si>
  <si>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</si>
  <si>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</si>
  <si>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</si>
  <si>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</si>
  <si>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</si>
  <si>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</si>
  <si>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</si>
  <si>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</si>
  <si>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</si>
  <si>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</si>
  <si>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</si>
  <si>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</si>
  <si>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</si>
  <si>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</si>
  <si>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</si>
  <si>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</si>
  <si>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</si>
  <si>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</si>
  <si>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</si>
  <si>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</si>
  <si>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</si>
  <si>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</si>
  <si>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</si>
  <si>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</si>
  <si>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</si>
  <si>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</si>
  <si>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</si>
  <si>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</si>
  <si>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</si>
  <si>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</si>
  <si>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</si>
  <si>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</si>
  <si>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</si>
  <si>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</si>
  <si>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</si>
  <si>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</si>
  <si>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</si>
  <si>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</si>
  <si>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</si>
  <si>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</si>
  <si>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</si>
  <si>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</si>
  <si>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</si>
  <si>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</si>
  <si>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</si>
  <si>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</si>
  <si>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</si>
  <si>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</si>
  <si>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</si>
  <si>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</si>
  <si>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</si>
  <si>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</si>
  <si>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</si>
  <si>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</si>
  <si>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</si>
  <si>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</si>
  <si>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</si>
  <si>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</si>
  <si>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</si>
  <si>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</si>
  <si>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</si>
  <si>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</si>
  <si>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</si>
  <si>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</si>
  <si>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</si>
  <si>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</si>
  <si>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</si>
  <si>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</si>
  <si>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</si>
  <si>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</si>
  <si>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</si>
  <si>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</si>
  <si>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</si>
  <si>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</si>
  <si>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</si>
  <si>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</si>
  <si>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</si>
  <si>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</si>
  <si>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</si>
  <si>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</si>
  <si>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</si>
  <si>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</si>
  <si>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</si>
  <si>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</si>
  <si>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</si>
  <si>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</si>
  <si>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</si>
  <si>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</si>
  <si>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</si>
  <si>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</si>
  <si>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</si>
  <si>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</si>
  <si>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</si>
  <si>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</si>
  <si>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</si>
  <si>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</si>
  <si>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</si>
  <si>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</si>
  <si>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</si>
  <si>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</si>
  <si>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</si>
  <si>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</si>
  <si>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</si>
  <si>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</si>
  <si>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</si>
  <si>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</si>
  <si>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</si>
  <si>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</si>
  <si>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</si>
  <si>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</si>
  <si>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</si>
  <si>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</si>
  <si>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</si>
  <si>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</si>
  <si>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</si>
  <si>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</si>
  <si>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</si>
  <si>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</si>
  <si>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</si>
  <si>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</si>
  <si>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</si>
  <si>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</si>
  <si>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</si>
  <si>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</si>
  <si>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</si>
  <si>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</si>
  <si>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</si>
  <si>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</si>
  <si>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</si>
  <si>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</si>
  <si>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</si>
  <si>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</si>
  <si>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</si>
  <si>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</si>
  <si>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</si>
  <si>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</si>
  <si>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</si>
  <si>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</si>
  <si>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</si>
  <si>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</si>
  <si>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</si>
  <si>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</si>
  <si>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</si>
  <si>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</si>
  <si>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</si>
  <si>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</si>
  <si>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</si>
  <si>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</si>
  <si>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</si>
  <si>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</si>
  <si>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</si>
  <si>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</si>
  <si>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</si>
  <si>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</si>
  <si>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</si>
  <si>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</si>
  <si>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</si>
  <si>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</si>
  <si>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</si>
  <si>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</si>
  <si>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</si>
  <si>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</si>
  <si>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</si>
  <si>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</si>
  <si>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</si>
  <si>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</si>
  <si>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</si>
  <si>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</si>
  <si>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</si>
  <si>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</si>
  <si>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</si>
  <si>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</si>
  <si>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</si>
  <si>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</si>
  <si>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</si>
  <si>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</si>
  <si>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</si>
  <si>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</si>
  <si>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</si>
  <si>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</si>
  <si>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</si>
  <si>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</si>
  <si>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</si>
  <si>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</si>
  <si>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</si>
  <si>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</si>
  <si>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</si>
  <si>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</si>
  <si>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</si>
  <si>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</si>
  <si>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</si>
  <si>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</si>
  <si>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</si>
  <si>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</si>
  <si>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</si>
  <si>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</si>
  <si>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</si>
  <si>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</si>
  <si>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</si>
  <si>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</si>
  <si>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</si>
  <si>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</si>
  <si>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</si>
  <si>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</si>
  <si>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</si>
  <si>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</si>
  <si>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</si>
  <si>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</si>
  <si>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</si>
  <si>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</si>
  <si>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</si>
  <si>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</si>
  <si>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</si>
  <si>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</si>
  <si>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</si>
  <si>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</si>
  <si>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</si>
  <si>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</si>
  <si>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</si>
  <si>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</si>
  <si>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</si>
  <si>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</si>
  <si>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</si>
  <si>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</si>
  <si>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</si>
  <si>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</si>
  <si>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</si>
  <si>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</si>
  <si>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</si>
  <si>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</si>
  <si>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</si>
  <si>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</si>
  <si>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</si>
  <si>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</si>
  <si>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</si>
  <si>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</si>
  <si>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</si>
  <si>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</si>
  <si>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</si>
  <si>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</si>
  <si>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</si>
  <si>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</si>
  <si>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</si>
  <si>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</si>
  <si>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</si>
  <si>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</si>
  <si>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</si>
  <si>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</si>
  <si>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</si>
  <si>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</si>
  <si>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</si>
  <si>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</si>
  <si>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</si>
  <si>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</si>
  <si>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</si>
  <si>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</si>
  <si>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</si>
  <si>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</si>
  <si>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</si>
  <si>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</si>
  <si>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</si>
  <si>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</si>
  <si>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</si>
  <si>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</si>
  <si>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</si>
  <si>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</si>
  <si>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</si>
  <si>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</si>
  <si>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</si>
  <si>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</si>
  <si>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</si>
  <si>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</si>
  <si>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</si>
  <si>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</si>
  <si>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</si>
  <si>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</si>
  <si>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</si>
  <si>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</si>
  <si>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</si>
  <si>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</si>
  <si>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</si>
  <si>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</si>
  <si>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</si>
  <si>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</si>
  <si>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</si>
  <si>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</si>
  <si>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</si>
  <si>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</si>
  <si>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</si>
  <si>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</si>
  <si>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</si>
  <si>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</si>
  <si>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</si>
  <si>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</si>
  <si>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</si>
  <si>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</si>
  <si>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</si>
  <si>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</si>
  <si>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</si>
  <si>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</si>
  <si>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</si>
  <si>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</si>
  <si>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</si>
  <si>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</si>
  <si>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</si>
  <si>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</si>
  <si>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</si>
  <si>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</si>
  <si>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</si>
  <si>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</si>
  <si>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</si>
  <si>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</si>
  <si>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</si>
  <si>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</si>
  <si>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</si>
  <si>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</si>
  <si>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</si>
  <si>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</si>
  <si>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</si>
  <si>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</si>
  <si>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</si>
  <si>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</si>
  <si>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</si>
  <si>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</si>
  <si>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</si>
  <si>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</si>
  <si>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</si>
  <si>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</si>
  <si>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</si>
  <si>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</si>
  <si>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</si>
  <si>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</si>
  <si>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</si>
  <si>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</si>
  <si>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</si>
  <si>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</si>
  <si>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</si>
  <si>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</si>
  <si>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</si>
  <si>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</si>
  <si>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</si>
  <si>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</si>
  <si>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</si>
  <si>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</si>
  <si>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</si>
  <si>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</si>
  <si>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</si>
  <si>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</si>
  <si>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</si>
  <si>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</si>
  <si>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</si>
  <si>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</si>
  <si>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</si>
  <si>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</si>
  <si>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</si>
  <si>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</si>
  <si>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</si>
  <si>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</si>
  <si>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</si>
  <si>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</si>
  <si>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</si>
  <si>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</si>
  <si>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</si>
  <si>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</si>
  <si>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</si>
  <si>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</si>
  <si>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</si>
  <si>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</si>
  <si>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</si>
  <si>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</si>
  <si>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</si>
  <si>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</si>
  <si>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</si>
  <si>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</si>
  <si>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</si>
  <si>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</si>
  <si>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</si>
  <si>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</si>
  <si>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</si>
  <si>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</si>
  <si>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</si>
  <si>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</si>
  <si>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</si>
  <si>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</si>
  <si>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</si>
  <si>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</si>
  <si>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</si>
  <si>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</si>
  <si>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</si>
  <si>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</si>
  <si>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</si>
  <si>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</si>
  <si>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</si>
  <si>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</si>
  <si>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</si>
  <si>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</si>
  <si>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</si>
  <si>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</si>
  <si>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</si>
  <si>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</si>
  <si>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</si>
  <si>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</si>
  <si>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</si>
  <si>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</si>
  <si>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</si>
  <si>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</si>
  <si>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</si>
  <si>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</si>
  <si>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</si>
  <si>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</si>
  <si>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</si>
  <si>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</si>
  <si>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</si>
  <si>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</si>
  <si>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</si>
  <si>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</si>
  <si>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</si>
  <si>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</si>
  <si>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</si>
  <si>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</si>
  <si>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</si>
  <si>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</si>
  <si>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</si>
  <si>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</si>
  <si>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</si>
  <si>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</si>
  <si>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</si>
  <si>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</si>
  <si>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</si>
  <si>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</si>
  <si>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</si>
  <si>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</si>
  <si>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</si>
  <si>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</si>
  <si>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</si>
  <si>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</si>
  <si>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</si>
  <si>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</si>
  <si>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</si>
  <si>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</si>
  <si>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</si>
  <si>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</si>
  <si>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</si>
  <si>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</si>
  <si>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</si>
  <si>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</si>
  <si>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</si>
  <si>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</si>
  <si>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</si>
  <si>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</si>
  <si>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</si>
  <si>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</si>
  <si>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</si>
  <si>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</si>
  <si>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</si>
  <si>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</si>
  <si>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</si>
  <si>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</si>
  <si>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</si>
  <si>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</si>
  <si>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</si>
  <si>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</si>
  <si>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</si>
  <si>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</si>
  <si>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</si>
  <si>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</si>
  <si>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</si>
  <si>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</si>
  <si>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</si>
  <si>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</si>
  <si>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</si>
  <si>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</si>
  <si>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</si>
  <si>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</si>
  <si>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</si>
  <si>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</si>
  <si>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</si>
  <si>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</si>
  <si>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</si>
  <si>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</si>
  <si>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</si>
  <si>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</si>
  <si>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</si>
  <si>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</si>
  <si>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</si>
  <si>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</si>
  <si>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</si>
  <si>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</si>
  <si>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</si>
  <si>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</si>
  <si>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</si>
  <si>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</si>
  <si>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</si>
  <si>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</si>
  <si>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</si>
  <si>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</si>
  <si>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</si>
  <si>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</si>
  <si>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</si>
  <si>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</si>
  <si>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</si>
  <si>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</si>
  <si>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</si>
  <si>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</si>
  <si>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</si>
  <si>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</si>
  <si>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</si>
  <si>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</si>
  <si>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</si>
  <si>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</si>
  <si>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</si>
  <si>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</si>
  <si>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</si>
  <si>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</si>
  <si>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</si>
  <si>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</si>
  <si>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</si>
  <si>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</si>
  <si>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</si>
  <si>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</si>
  <si>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</si>
  <si>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</si>
  <si>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</si>
  <si>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</si>
  <si>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</si>
  <si>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</si>
  <si>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</si>
  <si>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</si>
  <si>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</si>
  <si>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</si>
  <si>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</si>
  <si>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</si>
  <si>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</si>
  <si>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</si>
  <si>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</si>
  <si>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</si>
  <si>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</si>
  <si>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</si>
  <si>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</si>
  <si>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</si>
  <si>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</si>
  <si>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</si>
  <si>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</si>
  <si>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</si>
  <si>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</si>
  <si>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</si>
  <si>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</si>
  <si>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</si>
  <si>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</si>
  <si>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</si>
  <si>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</si>
  <si>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</si>
  <si>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</si>
  <si>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</si>
  <si>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</si>
  <si>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</si>
  <si>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</si>
  <si>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</si>
  <si>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</si>
  <si>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</si>
  <si>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</si>
  <si>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</si>
  <si>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</si>
  <si>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</si>
  <si>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</si>
  <si>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</si>
  <si>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</si>
  <si>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</si>
  <si>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</si>
  <si>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</si>
  <si>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</si>
  <si>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</si>
  <si>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</si>
  <si>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</si>
  <si>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</si>
  <si>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</si>
  <si>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</si>
  <si>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</si>
  <si>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</si>
  <si>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</si>
  <si>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</si>
  <si>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</si>
  <si>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</si>
  <si>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</si>
  <si>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</si>
  <si>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</si>
  <si>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</si>
  <si>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</si>
  <si>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</si>
  <si>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</si>
  <si>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</si>
  <si>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</si>
  <si>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</si>
  <si>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</si>
  <si>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</si>
  <si>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</si>
  <si>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</si>
  <si>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</si>
  <si>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</si>
  <si>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</si>
  <si>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</si>
  <si>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</si>
  <si>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</si>
  <si>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</si>
  <si>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</si>
  <si>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</si>
  <si>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</si>
  <si>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</si>
  <si>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</si>
  <si>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</si>
  <si>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</si>
  <si>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</si>
  <si>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</si>
  <si>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</si>
  <si>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</si>
  <si>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</si>
  <si>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</si>
  <si>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</si>
  <si>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</si>
  <si>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</si>
  <si>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</si>
  <si>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</si>
  <si>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</si>
  <si>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</si>
  <si>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</si>
  <si>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</si>
  <si>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</si>
  <si>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</si>
  <si>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</si>
  <si>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</si>
  <si>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</si>
  <si>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</si>
  <si>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</si>
  <si>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</si>
  <si>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</si>
  <si>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</si>
  <si>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</si>
  <si>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</si>
  <si>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</si>
  <si>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</si>
  <si>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</si>
  <si>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</si>
  <si>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</si>
  <si>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</si>
  <si>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</si>
  <si>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</si>
  <si>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</si>
  <si>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</si>
  <si>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</si>
  <si>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</si>
  <si>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</si>
  <si>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</si>
  <si>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</si>
  <si>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</si>
  <si>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</si>
  <si>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</si>
  <si>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</si>
  <si>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</si>
  <si>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</si>
  <si>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</si>
  <si>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</si>
  <si>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</si>
  <si>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</si>
  <si>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</si>
  <si>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</si>
  <si>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</si>
  <si>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</si>
  <si>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</si>
  <si>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</si>
  <si>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</si>
  <si>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</si>
  <si>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</si>
  <si>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</si>
  <si>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</si>
  <si>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</si>
  <si>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</si>
  <si>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</si>
  <si>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</si>
  <si>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</si>
  <si>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</si>
  <si>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</si>
  <si>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</si>
  <si>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</si>
  <si>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</si>
  <si>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</si>
  <si>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</si>
  <si>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</si>
  <si>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</si>
  <si>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</si>
  <si>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</si>
  <si>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</si>
  <si>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</si>
  <si>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</si>
  <si>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</si>
  <si>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</si>
  <si>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</si>
  <si>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</si>
  <si>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</si>
  <si>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</si>
  <si>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</si>
  <si>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</si>
  <si>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</si>
  <si>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</si>
  <si>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</si>
  <si>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</si>
  <si>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</si>
  <si>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</si>
  <si>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</si>
  <si>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</si>
  <si>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</si>
  <si>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</si>
  <si>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</si>
  <si>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</si>
  <si>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</si>
  <si>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</si>
  <si>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</si>
  <si>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</si>
  <si>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</si>
  <si>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</si>
  <si>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</si>
  <si>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</si>
  <si>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</si>
  <si>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</si>
  <si>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</si>
  <si>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</si>
  <si>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</si>
  <si>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</si>
  <si>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</si>
  <si>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</si>
  <si>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</si>
  <si>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</si>
  <si>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</si>
  <si>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</si>
  <si>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</si>
  <si>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</si>
  <si>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</si>
  <si>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</si>
  <si>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</si>
  <si>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</si>
  <si>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</si>
  <si>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</si>
  <si>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</si>
  <si>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</si>
  <si>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</si>
  <si>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</si>
  <si>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</si>
  <si>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</si>
  <si>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</si>
  <si>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</si>
  <si>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</si>
  <si>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</si>
  <si>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</si>
  <si>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</si>
  <si>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</si>
  <si>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</si>
  <si>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</si>
  <si>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</si>
  <si>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</si>
  <si>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</si>
  <si>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</si>
  <si>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</si>
  <si>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</si>
  <si>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</si>
  <si>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</si>
  <si>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</si>
  <si>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</si>
  <si>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</si>
  <si>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</si>
  <si>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</si>
  <si>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</si>
  <si>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</si>
  <si>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</si>
  <si>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</si>
  <si>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</si>
  <si>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</si>
  <si>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</si>
  <si>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</si>
  <si>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</si>
  <si>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</si>
  <si>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</si>
  <si>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</si>
  <si>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</si>
  <si>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</si>
  <si>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</si>
  <si>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</si>
  <si>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</si>
  <si>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</si>
  <si>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</si>
  <si>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</si>
  <si>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</si>
  <si>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</si>
  <si>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</si>
  <si>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</si>
  <si>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</si>
  <si>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</si>
  <si>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</si>
  <si>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</si>
  <si>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</si>
  <si>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</si>
  <si>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</si>
  <si>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</si>
  <si>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</si>
  <si>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</si>
  <si>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</si>
  <si>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</si>
  <si>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</si>
  <si>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</si>
  <si>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</si>
  <si>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</si>
  <si>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</si>
  <si>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</si>
  <si>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</si>
  <si>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</si>
  <si>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</si>
  <si>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</si>
  <si>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</si>
  <si>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</si>
  <si>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</si>
  <si>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</si>
  <si>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</si>
  <si>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</si>
  <si>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</si>
  <si>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</si>
  <si>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</si>
  <si>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</si>
  <si>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</si>
  <si>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</si>
  <si>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</si>
  <si>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</si>
  <si>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</si>
  <si>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</si>
  <si>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</si>
  <si>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</si>
  <si>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</si>
  <si>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</si>
  <si>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</si>
  <si>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</si>
  <si>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</si>
  <si>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</si>
  <si>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</si>
  <si>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</si>
  <si>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</si>
  <si>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</si>
  <si>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</si>
  <si>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</si>
  <si>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</si>
  <si>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</si>
  <si>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</si>
  <si>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</si>
  <si>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</si>
  <si>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</si>
  <si>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</si>
  <si>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</si>
  <si>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</si>
  <si>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</si>
  <si>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</si>
  <si>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</si>
  <si>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</si>
  <si>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</si>
  <si>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</si>
  <si>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</si>
  <si>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</si>
  <si>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</si>
  <si>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</si>
  <si>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</si>
  <si>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</si>
  <si>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</si>
  <si>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</si>
  <si>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</si>
  <si>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</si>
  <si>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</si>
  <si>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</si>
  <si>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</si>
  <si>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</si>
  <si>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</si>
  <si>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</si>
  <si>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</si>
  <si>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</si>
  <si>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</si>
  <si>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</si>
  <si>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</si>
  <si>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</si>
  <si>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</si>
  <si>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</si>
  <si>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</si>
  <si>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</si>
  <si>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</si>
  <si>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</si>
  <si>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</si>
  <si>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</si>
  <si>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</si>
  <si>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</si>
  <si>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</si>
  <si>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</si>
  <si>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</si>
  <si>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</si>
  <si>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</si>
  <si>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</si>
  <si>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</si>
  <si>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</si>
  <si>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</si>
  <si>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</si>
  <si>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</si>
  <si>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</si>
  <si>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</si>
  <si>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</si>
  <si>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</si>
  <si>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</si>
  <si>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</si>
  <si>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</si>
  <si>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</si>
  <si>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</si>
  <si>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</si>
  <si>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</si>
  <si>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</si>
  <si>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</si>
  <si>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</si>
  <si>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</si>
  <si>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</si>
  <si>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</si>
  <si>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</si>
  <si>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</si>
  <si>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</si>
  <si>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</si>
  <si>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</si>
  <si>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</si>
  <si>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</si>
  <si>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</si>
  <si>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</si>
  <si>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</si>
  <si>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</si>
  <si>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</si>
  <si>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</si>
  <si>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</si>
  <si>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</si>
  <si>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</si>
  <si>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</si>
  <si>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</si>
  <si>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</si>
  <si>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</si>
  <si>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</si>
  <si>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</si>
  <si>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</si>
  <si>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</si>
  <si>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</si>
  <si>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</si>
  <si>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</si>
  <si>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</si>
  <si>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</si>
  <si>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</si>
  <si>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</si>
  <si>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</si>
  <si>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</si>
  <si>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</si>
  <si>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</si>
  <si>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</si>
  <si>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</si>
  <si>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</si>
  <si>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</si>
  <si>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</si>
  <si>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</si>
  <si>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</si>
  <si>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</si>
  <si>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</si>
  <si>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</si>
  <si>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</si>
  <si>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</si>
  <si>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</si>
  <si>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</si>
  <si>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</si>
  <si>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</si>
  <si>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</si>
  <si>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</si>
  <si>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</si>
  <si>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</si>
  <si>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</si>
  <si>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</si>
  <si>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</si>
  <si>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</si>
  <si>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</si>
  <si>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</si>
  <si>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</si>
  <si>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</si>
  <si>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</si>
  <si>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</si>
  <si>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</si>
  <si>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</si>
  <si>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</si>
  <si>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</si>
  <si>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</si>
  <si>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</si>
  <si>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</si>
  <si>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</si>
  <si>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</si>
  <si>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</si>
  <si>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</si>
  <si>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</si>
  <si>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</si>
  <si>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</si>
  <si>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</si>
  <si>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</si>
  <si>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</si>
  <si>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</si>
  <si>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</si>
  <si>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</si>
  <si>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</si>
  <si>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</si>
  <si>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</si>
  <si>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</si>
  <si>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</si>
  <si>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</si>
  <si>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</si>
  <si>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</si>
  <si>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</si>
  <si>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</si>
  <si>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</si>
  <si>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</si>
  <si>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</si>
  <si>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</si>
  <si>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</si>
  <si>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</si>
  <si>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</si>
  <si>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</si>
  <si>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</si>
  <si>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</si>
  <si>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</si>
  <si>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</si>
  <si>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</si>
  <si>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</si>
  <si>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</si>
  <si>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</si>
  <si>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</si>
  <si>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</si>
  <si>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</si>
  <si>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</si>
  <si>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</si>
  <si>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</si>
  <si>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</si>
  <si>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</si>
  <si>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</si>
  <si>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</si>
  <si>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</si>
  <si>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</si>
  <si>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</si>
  <si>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</si>
  <si>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</si>
  <si>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</si>
  <si>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</si>
  <si>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</si>
  <si>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</si>
  <si>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</si>
  <si>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</si>
  <si>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</si>
  <si>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</si>
  <si>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</si>
  <si>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</si>
  <si>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</si>
  <si>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</si>
  <si>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</si>
  <si>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</si>
  <si>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</si>
  <si>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</si>
  <si>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</si>
  <si>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</si>
  <si>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</si>
  <si>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</si>
  <si>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</si>
  <si>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</si>
  <si>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</si>
  <si>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</si>
  <si>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</si>
  <si>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</si>
  <si>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</si>
  <si>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</si>
  <si>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</si>
  <si>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</si>
  <si>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</si>
  <si>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</si>
  <si>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</si>
  <si>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</si>
  <si>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</si>
  <si>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</si>
  <si>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</si>
  <si>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</si>
  <si>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</si>
  <si>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</si>
  <si>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</si>
  <si>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</si>
  <si>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</si>
  <si>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</si>
  <si>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</si>
  <si>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</si>
  <si>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</si>
  <si>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</si>
  <si>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</si>
  <si>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</si>
  <si>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</si>
  <si>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</si>
  <si>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</si>
  <si>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</si>
  <si>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</si>
  <si>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</si>
  <si>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</si>
  <si>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</si>
  <si>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</si>
  <si>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</si>
  <si>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</si>
  <si>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</si>
  <si>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</si>
  <si>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</si>
  <si>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</si>
  <si>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</si>
  <si>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</si>
  <si>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</si>
  <si>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</si>
  <si>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</si>
  <si>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</si>
  <si>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</si>
  <si>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</si>
  <si>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</si>
  <si>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</si>
  <si>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</si>
  <si>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</si>
  <si>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</si>
  <si>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</si>
  <si>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</si>
  <si>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</si>
  <si>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</si>
  <si>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</si>
  <si>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</si>
  <si>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</si>
  <si>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</si>
  <si>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</si>
  <si>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</si>
  <si>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</si>
  <si>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</si>
  <si>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</si>
  <si>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</si>
  <si>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</si>
  <si>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</si>
  <si>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</si>
  <si>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</si>
  <si>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</si>
  <si>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</si>
  <si>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</si>
  <si>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</si>
  <si>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</si>
  <si>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</si>
  <si>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</si>
  <si>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</si>
  <si>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</si>
  <si>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</si>
  <si>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</si>
  <si>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</si>
  <si>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</si>
  <si>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</si>
  <si>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</si>
  <si>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</si>
  <si>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</si>
  <si>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</si>
  <si>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</si>
  <si>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</si>
  <si>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</si>
  <si>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</si>
  <si>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</si>
  <si>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</si>
  <si>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</si>
  <si>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</si>
  <si>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</si>
  <si>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</si>
  <si>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</si>
  <si>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</si>
  <si>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</si>
  <si>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</si>
  <si>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</si>
  <si>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</si>
  <si>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</si>
  <si>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</si>
  <si>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</si>
  <si>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</si>
  <si>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</si>
  <si>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</si>
  <si>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</si>
  <si>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</si>
  <si>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</si>
  <si>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</si>
  <si>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</si>
  <si>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</si>
  <si>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</si>
  <si>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</si>
  <si>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</si>
  <si>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</si>
  <si>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</si>
  <si>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</si>
  <si>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</si>
  <si>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</si>
  <si>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</si>
  <si>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</si>
  <si>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</si>
  <si>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</si>
  <si>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</si>
  <si>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</si>
  <si>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</si>
  <si>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</si>
  <si>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</si>
  <si>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</si>
  <si>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</si>
  <si>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</si>
  <si>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</si>
  <si>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</si>
  <si>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</si>
  <si>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</si>
  <si>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</si>
  <si>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</si>
  <si>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</si>
  <si>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</si>
  <si>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</si>
  <si>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</si>
  <si>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</si>
  <si>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</si>
  <si>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</si>
  <si>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</si>
  <si>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</si>
  <si>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</si>
  <si>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</si>
  <si>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</si>
  <si>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</si>
  <si>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</si>
  <si>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</si>
  <si>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</si>
  <si>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</si>
  <si>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</si>
  <si>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</si>
  <si>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</si>
  <si>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</si>
  <si>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</si>
  <si>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</si>
  <si>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</si>
  <si>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</si>
  <si>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</si>
  <si>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</si>
  <si>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</si>
  <si>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</si>
  <si>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</si>
  <si>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</si>
  <si>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</si>
  <si>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</si>
  <si>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</si>
  <si>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</si>
  <si>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</si>
  <si>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</si>
  <si>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</si>
  <si>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</si>
  <si>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</si>
  <si>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</si>
  <si>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</si>
  <si>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</si>
  <si>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</si>
  <si>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</si>
  <si>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</si>
  <si>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</si>
  <si>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</si>
  <si>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</si>
  <si>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</si>
  <si>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</si>
  <si>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</si>
  <si>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</si>
  <si>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</si>
  <si>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</si>
  <si>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</si>
  <si>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</si>
  <si>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</si>
  <si>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</si>
  <si>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</si>
  <si>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</si>
  <si>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</si>
  <si>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</si>
  <si>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</si>
  <si>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</si>
  <si>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</si>
  <si>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</si>
  <si>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</si>
  <si>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</si>
  <si>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</si>
  <si>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</si>
  <si>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</si>
  <si>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</si>
  <si>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</si>
  <si>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</si>
  <si>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</si>
  <si>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</si>
  <si>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</si>
  <si>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</si>
  <si>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</si>
  <si>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</si>
  <si>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</si>
  <si>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</si>
  <si>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</si>
  <si>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</si>
  <si>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</si>
  <si>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</si>
  <si>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</si>
  <si>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</si>
  <si>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</si>
  <si>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</si>
  <si>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</si>
  <si>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</si>
  <si>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</si>
  <si>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</si>
  <si>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</si>
  <si>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</si>
  <si>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</si>
  <si>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</si>
  <si>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</si>
  <si>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</si>
  <si>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</si>
  <si>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</si>
  <si>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</si>
  <si>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</si>
  <si>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</si>
  <si>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</si>
  <si>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</si>
  <si>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</si>
  <si>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</si>
  <si>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</si>
  <si>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</si>
  <si>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</si>
  <si>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</si>
  <si>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</si>
  <si>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</si>
  <si>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</si>
  <si>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</si>
  <si>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</si>
  <si>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</si>
  <si>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</si>
  <si>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</si>
  <si>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</si>
  <si>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</si>
  <si>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</si>
  <si>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</si>
  <si>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</si>
  <si>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</si>
  <si>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</si>
  <si>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</si>
  <si>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</si>
  <si>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</si>
  <si>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</si>
  <si>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</si>
  <si>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</si>
  <si>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</si>
  <si>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</si>
  <si>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</si>
  <si>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</si>
  <si>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</si>
  <si>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</si>
  <si>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</si>
  <si>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</si>
  <si>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</si>
  <si>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</si>
  <si>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</si>
  <si>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</si>
  <si>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</si>
  <si>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</si>
  <si>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</si>
  <si>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</si>
  <si>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</si>
  <si>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</si>
  <si>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</si>
  <si>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</si>
  <si>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</si>
  <si>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</si>
  <si>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</si>
  <si>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</si>
  <si>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</si>
  <si>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</si>
  <si>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</si>
  <si>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</si>
  <si>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</si>
  <si>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</si>
  <si>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</si>
  <si>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</si>
  <si>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</si>
  <si>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</si>
  <si>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</si>
  <si>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</si>
  <si>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</si>
  <si>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</si>
  <si>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</si>
  <si>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</si>
  <si>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</si>
  <si>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</si>
  <si>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</si>
  <si>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</si>
  <si>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</si>
  <si>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</si>
  <si>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</si>
  <si>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</si>
  <si>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</si>
  <si>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</si>
  <si>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</si>
  <si>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</si>
  <si>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</si>
  <si>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</si>
  <si>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</si>
  <si>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</si>
  <si>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</si>
  <si>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</si>
  <si>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</si>
  <si>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</si>
  <si>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</si>
  <si>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</si>
  <si>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</si>
  <si>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</si>
  <si>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</si>
  <si>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</si>
  <si>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</si>
  <si>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</si>
  <si>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</si>
  <si>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</si>
  <si>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</si>
  <si>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</si>
  <si>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</si>
  <si>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</si>
  <si>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</si>
  <si>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</si>
  <si>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</si>
  <si>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</si>
  <si>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</si>
  <si>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</si>
  <si>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</si>
  <si>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</si>
  <si>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</si>
  <si>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</si>
  <si>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</si>
  <si>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</si>
  <si>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</si>
  <si>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</si>
  <si>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</si>
  <si>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</si>
  <si>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</si>
  <si>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</si>
  <si>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</si>
  <si>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</si>
  <si>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</si>
  <si>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</si>
  <si>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</si>
  <si>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</si>
  <si>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</si>
  <si>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</si>
  <si>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</si>
  <si>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</si>
  <si>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</si>
  <si>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</si>
  <si>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</si>
  <si>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</si>
  <si>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</si>
  <si>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</si>
  <si>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</si>
  <si>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</si>
  <si>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</si>
  <si>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</si>
  <si>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</si>
  <si>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</si>
  <si>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</si>
  <si>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</si>
  <si>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</si>
  <si>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</si>
  <si>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</si>
  <si>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</si>
  <si>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</si>
  <si>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</si>
  <si>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</si>
  <si>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</si>
  <si>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</si>
  <si>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</si>
  <si>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</si>
  <si>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</si>
  <si>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</si>
  <si>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</si>
  <si>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</si>
  <si>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</si>
  <si>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</si>
  <si>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</si>
  <si>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</si>
  <si>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</si>
  <si>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</si>
  <si>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</si>
  <si>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</si>
  <si>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</si>
  <si>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</si>
  <si>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</si>
  <si>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</si>
  <si>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</si>
  <si>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</si>
  <si>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</si>
  <si>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</si>
  <si>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</si>
  <si>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</si>
  <si>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</si>
  <si>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</si>
  <si>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</si>
  <si>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</si>
  <si>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</si>
  <si>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</si>
  <si>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</si>
  <si>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</si>
  <si>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</si>
  <si>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</si>
  <si>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</si>
  <si>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</si>
  <si>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</si>
  <si>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</si>
  <si>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</si>
  <si>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</si>
  <si>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</si>
  <si>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</si>
  <si>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</si>
  <si>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</si>
  <si>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</si>
  <si>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</si>
  <si>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</si>
  <si>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</si>
  <si>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</si>
  <si>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</si>
  <si>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</si>
  <si>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</si>
  <si>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</si>
  <si>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</si>
  <si>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</si>
  <si>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</si>
  <si>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</si>
  <si>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</si>
  <si>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</si>
  <si>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</si>
  <si>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</si>
  <si>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</si>
  <si>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</si>
  <si>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</si>
  <si>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</si>
  <si>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</si>
  <si>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</si>
  <si>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</si>
  <si>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</si>
  <si>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</si>
  <si>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</si>
  <si>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</si>
  <si>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</si>
  <si>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</si>
  <si>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</si>
  <si>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</si>
  <si>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</si>
  <si>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</si>
  <si>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</si>
  <si>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</si>
  <si>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</si>
  <si>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</si>
  <si>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</si>
  <si>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</si>
  <si>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</si>
  <si>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</si>
  <si>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</si>
  <si>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</si>
  <si>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</si>
  <si>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</si>
  <si>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</si>
  <si>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</si>
  <si>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</si>
  <si>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</si>
  <si>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</si>
  <si>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</si>
  <si>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</si>
  <si>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</si>
  <si>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</si>
  <si>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</si>
  <si>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</si>
  <si>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</si>
  <si>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</si>
  <si>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</si>
  <si>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</si>
  <si>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</si>
  <si>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</si>
  <si>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</si>
  <si>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</si>
  <si>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</si>
  <si>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</si>
  <si>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</si>
  <si>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</si>
  <si>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</si>
  <si>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</si>
  <si>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</si>
  <si>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</si>
  <si>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</si>
  <si>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</si>
  <si>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</si>
  <si>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</si>
  <si>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</si>
  <si>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</si>
  <si>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</si>
  <si>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</si>
  <si>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</si>
  <si>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</si>
  <si>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</si>
  <si>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</si>
  <si>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</si>
  <si>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</si>
  <si>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</si>
  <si>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</si>
  <si>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</si>
  <si>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</si>
  <si>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</si>
  <si>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</si>
  <si>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</si>
  <si>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</si>
  <si>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</si>
  <si>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</si>
  <si>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</si>
  <si>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</si>
  <si>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</si>
  <si>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</si>
  <si>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</si>
  <si>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</si>
  <si>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</si>
  <si>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</si>
  <si>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</si>
  <si>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</si>
  <si>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</si>
  <si>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</si>
  <si>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</si>
  <si>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</si>
  <si>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</si>
  <si>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</si>
  <si>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</si>
  <si>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</si>
  <si>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</si>
  <si>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</si>
  <si>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</si>
  <si>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</si>
  <si>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</si>
  <si>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</si>
  <si>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</si>
  <si>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</si>
  <si>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</si>
  <si>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</si>
  <si>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</si>
  <si>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</si>
  <si>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</si>
  <si>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</si>
  <si>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</si>
  <si>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</si>
  <si>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</si>
  <si>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</si>
  <si>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</si>
  <si>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</si>
  <si>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</si>
  <si>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</si>
  <si>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</si>
  <si>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</si>
  <si>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</si>
  <si>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</si>
  <si>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</si>
  <si>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</si>
  <si>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</si>
  <si>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</si>
  <si>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</si>
  <si>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</si>
  <si>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</si>
  <si>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</si>
  <si>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</si>
  <si>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</si>
  <si>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</si>
  <si>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</si>
  <si>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</si>
  <si>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</si>
  <si>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</si>
  <si>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</si>
  <si>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</si>
  <si>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</si>
  <si>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</si>
  <si>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</si>
  <si>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</si>
  <si>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</si>
  <si>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</si>
  <si>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</si>
  <si>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</si>
  <si>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</si>
  <si>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</si>
  <si>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</si>
  <si>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</si>
  <si>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</si>
  <si>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</si>
  <si>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</si>
  <si>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</si>
  <si>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</si>
  <si>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</si>
  <si>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</si>
  <si>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</si>
  <si>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</si>
  <si>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</si>
  <si>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</si>
  <si>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</si>
  <si>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</si>
  <si>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</si>
  <si>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</si>
  <si>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</si>
  <si>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</si>
  <si>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</si>
  <si>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</si>
  <si>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</si>
  <si>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</si>
  <si>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</si>
  <si>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</si>
  <si>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</si>
  <si>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</si>
  <si>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</si>
  <si>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</si>
  <si>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</si>
  <si>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</si>
  <si>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</si>
  <si>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</si>
  <si>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</si>
  <si>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</si>
  <si>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</si>
  <si>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</si>
  <si>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</si>
  <si>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</si>
  <si>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</si>
  <si>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</si>
  <si>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</si>
  <si>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</si>
  <si>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</si>
  <si>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</si>
  <si>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</si>
  <si>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</si>
  <si>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</si>
  <si>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</si>
  <si>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</si>
  <si>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</si>
  <si>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</si>
  <si>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</si>
  <si>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</si>
  <si>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</si>
  <si>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</si>
  <si>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</si>
  <si>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</si>
  <si>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</si>
  <si>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</si>
  <si>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</si>
  <si>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</si>
  <si>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</si>
  <si>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</si>
  <si>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</si>
  <si>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</si>
  <si>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</si>
  <si>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</si>
  <si>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</si>
  <si>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</si>
  <si>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</si>
  <si>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</si>
  <si>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</si>
  <si>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</si>
  <si>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</si>
  <si>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</si>
  <si>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</si>
  <si>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</si>
  <si>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</si>
  <si>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</si>
  <si>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</si>
  <si>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</si>
  <si>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</si>
  <si>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</si>
  <si>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</si>
  <si>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</si>
  <si>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</si>
  <si>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</si>
  <si>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</si>
  <si>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</si>
  <si>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</si>
  <si>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</si>
  <si>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</si>
  <si>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</si>
  <si>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</si>
  <si>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</si>
  <si>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</si>
  <si>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</si>
  <si>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</si>
  <si>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</si>
  <si>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</si>
  <si>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</si>
  <si>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</si>
  <si>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</si>
  <si>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</si>
  <si>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</si>
  <si>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</si>
  <si>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</si>
  <si>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</si>
  <si>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</si>
  <si>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</si>
  <si>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</si>
  <si>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</si>
  <si>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</si>
  <si>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</si>
  <si>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</si>
  <si>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</si>
  <si>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</si>
  <si>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</si>
  <si>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</si>
  <si>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</si>
  <si>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</si>
  <si>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</si>
  <si>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</si>
  <si>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</si>
  <si>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</si>
  <si>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</si>
  <si>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</si>
  <si>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</si>
  <si>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</si>
  <si>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</si>
  <si>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</si>
  <si>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</si>
  <si>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</si>
  <si>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</si>
  <si>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</si>
  <si>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</si>
  <si>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</si>
  <si>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</si>
  <si>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</si>
  <si>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</si>
  <si>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</si>
  <si>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</si>
  <si>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</si>
  <si>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</si>
  <si>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</si>
  <si>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</si>
  <si>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</si>
  <si>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</si>
  <si>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</si>
  <si>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</si>
  <si>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</si>
  <si>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</si>
  <si>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</si>
  <si>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</si>
  <si>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</si>
  <si>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</si>
  <si>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</si>
  <si>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</si>
  <si>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</si>
  <si>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</si>
  <si>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</si>
  <si>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</si>
  <si>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</si>
  <si>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</si>
  <si>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</si>
  <si>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</si>
  <si>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</si>
  <si>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</si>
  <si>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</si>
  <si>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</si>
  <si>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</si>
  <si>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</si>
  <si>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</si>
  <si>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</si>
  <si>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</si>
  <si>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</si>
  <si>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</si>
  <si>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</si>
  <si>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</si>
  <si>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</si>
  <si>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</si>
  <si>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</si>
  <si>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</si>
  <si>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</si>
  <si>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</si>
  <si>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</si>
  <si>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</si>
  <si>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</si>
  <si>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</si>
  <si>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</si>
  <si>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</si>
  <si>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</si>
  <si>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</si>
  <si>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</si>
  <si>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</si>
  <si>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</si>
  <si>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</si>
  <si>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</si>
  <si>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</si>
  <si>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</si>
  <si>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</si>
  <si>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</si>
  <si>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</si>
  <si>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</si>
  <si>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</si>
  <si>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</si>
  <si>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</si>
  <si>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</si>
  <si>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</si>
  <si>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</si>
  <si>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</si>
  <si>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</si>
  <si>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</si>
  <si>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</si>
  <si>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</si>
  <si>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</si>
  <si>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</si>
  <si>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</si>
  <si>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</si>
  <si>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</si>
  <si>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</si>
  <si>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</si>
  <si>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</si>
  <si>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</si>
  <si>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</si>
  <si>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</si>
  <si>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</si>
  <si>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</si>
  <si>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</si>
  <si>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</si>
  <si>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</si>
  <si>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</si>
  <si>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</si>
  <si>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</si>
  <si>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</si>
  <si>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</si>
  <si>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</si>
  <si>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</si>
  <si>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</si>
  <si>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</si>
  <si>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</si>
  <si>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</si>
  <si>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</si>
  <si>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</si>
  <si>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</si>
  <si>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</si>
  <si>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</si>
  <si>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</si>
  <si>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</si>
  <si>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</si>
  <si>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</si>
  <si>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</si>
  <si>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</si>
  <si>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</si>
  <si>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</si>
  <si>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</si>
  <si>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</si>
  <si>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</si>
  <si>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</si>
  <si>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</si>
  <si>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</si>
  <si>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</si>
  <si>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</si>
  <si>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</si>
  <si>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</si>
  <si>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</si>
  <si>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</si>
  <si>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</si>
  <si>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</si>
  <si>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</si>
  <si>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</si>
  <si>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</si>
  <si>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</si>
  <si>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</si>
  <si>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</si>
  <si>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</si>
  <si>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</si>
  <si>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</si>
  <si>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</si>
  <si>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</si>
  <si>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</si>
  <si>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</si>
  <si>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</si>
  <si>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</si>
  <si>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</si>
  <si>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</si>
  <si>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</si>
  <si>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</si>
  <si>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</si>
  <si>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</si>
  <si>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</si>
  <si>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</si>
  <si>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</si>
  <si>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</si>
  <si>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</si>
  <si>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</si>
  <si>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</si>
  <si>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</si>
  <si>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</si>
  <si>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</si>
  <si>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</si>
  <si>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</si>
  <si>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</si>
  <si>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</si>
  <si>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</si>
  <si>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</si>
  <si>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</si>
  <si>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</si>
  <si>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</si>
  <si>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</si>
  <si>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</si>
  <si>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</si>
  <si>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</si>
  <si>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</si>
  <si>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</si>
  <si>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</si>
  <si>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</si>
  <si>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</si>
  <si>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</si>
  <si>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</si>
  <si>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</si>
  <si>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</si>
  <si>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</si>
  <si>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</si>
  <si>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</si>
  <si>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</si>
  <si>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</si>
  <si>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</si>
  <si>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</si>
  <si>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</si>
  <si>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</si>
  <si>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</si>
  <si>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</si>
  <si>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</si>
  <si>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</si>
  <si>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</si>
  <si>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</si>
  <si>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</si>
  <si>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</si>
  <si>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</si>
  <si>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</si>
  <si>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</si>
  <si>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</si>
  <si>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</si>
  <si>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</si>
  <si>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</si>
  <si>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</si>
  <si>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</si>
  <si>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</si>
  <si>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</si>
  <si>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</si>
  <si>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</si>
  <si>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</si>
  <si>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</si>
  <si>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</si>
  <si>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</si>
  <si>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</si>
  <si>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</si>
  <si>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</si>
  <si>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</si>
  <si>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</si>
  <si>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</si>
  <si>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</si>
  <si>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</si>
  <si>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</si>
  <si>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</si>
  <si>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</si>
  <si>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</si>
  <si>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</si>
  <si>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</si>
  <si>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</si>
  <si>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</si>
  <si>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</si>
  <si>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</si>
  <si>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</si>
  <si>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</si>
  <si>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</si>
  <si>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</si>
  <si>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</si>
  <si>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</si>
  <si>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</si>
  <si>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</si>
  <si>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</si>
  <si>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</si>
  <si>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</si>
  <si>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</si>
  <si>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</si>
  <si>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</si>
  <si>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</si>
  <si>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</si>
  <si>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</si>
  <si>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</si>
  <si>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</si>
  <si>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</si>
  <si>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</si>
  <si>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</si>
  <si>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</si>
  <si>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</si>
  <si>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</si>
  <si>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</si>
  <si>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</si>
  <si>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</si>
  <si>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</si>
  <si>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</si>
  <si>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</si>
  <si>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</si>
  <si>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</si>
  <si>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</si>
  <si>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</si>
  <si>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</si>
  <si>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</si>
  <si>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</si>
  <si>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</si>
  <si>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</si>
  <si>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</si>
  <si>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</si>
  <si>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</si>
  <si>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</si>
  <si>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</si>
  <si>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</si>
  <si>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</si>
  <si>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</si>
  <si>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</si>
  <si>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</si>
  <si>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</si>
  <si>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</si>
  <si>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</si>
  <si>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</si>
  <si>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</si>
  <si>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</si>
  <si>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</si>
  <si>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</si>
  <si>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</si>
  <si>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</si>
  <si>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</si>
  <si>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</si>
  <si>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</si>
  <si>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</si>
  <si>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</si>
  <si>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</si>
  <si>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</si>
  <si>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</si>
  <si>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</si>
  <si>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</si>
  <si>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</si>
  <si>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</si>
  <si>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</si>
  <si>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</si>
  <si>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</si>
  <si>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</si>
  <si>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</si>
  <si>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</si>
  <si>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</si>
  <si>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</si>
  <si>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</si>
  <si>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</si>
  <si>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</si>
  <si>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</si>
  <si>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</si>
  <si>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</si>
  <si>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</si>
  <si>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</si>
  <si>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</si>
  <si>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</si>
  <si>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</si>
  <si>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</si>
  <si>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</si>
  <si>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</si>
  <si>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</si>
  <si>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</si>
  <si>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</si>
  <si>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</si>
  <si>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</si>
  <si>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</si>
  <si>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</si>
  <si>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</si>
  <si>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</si>
  <si>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</si>
  <si>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</si>
  <si>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</si>
  <si>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</si>
  <si>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</si>
  <si>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</si>
  <si>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</si>
  <si>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</si>
  <si>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</si>
  <si>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</si>
  <si>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</si>
  <si>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</si>
  <si>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</si>
  <si>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</si>
  <si>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</si>
  <si>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</si>
  <si>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</si>
  <si>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</si>
  <si>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</si>
  <si>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</si>
  <si>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</si>
  <si>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</si>
  <si>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</si>
  <si>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</si>
  <si>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</si>
  <si>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</si>
  <si>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</si>
  <si>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</si>
  <si>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</si>
  <si>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</si>
  <si>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</si>
  <si>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</si>
  <si>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</si>
  <si>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</si>
  <si>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</si>
  <si>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</si>
  <si>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</si>
  <si>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</si>
  <si>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</si>
  <si>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</si>
  <si>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</si>
  <si>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</si>
  <si>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</si>
  <si>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</si>
  <si>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</si>
  <si>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</si>
  <si>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</si>
  <si>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</si>
  <si>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</si>
  <si>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</si>
  <si>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</si>
  <si>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</si>
  <si>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</si>
  <si>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</si>
  <si>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</si>
  <si>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</si>
  <si>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</si>
  <si>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</si>
  <si>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</si>
  <si>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</si>
  <si>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</si>
  <si>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</si>
  <si>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</si>
  <si>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</si>
  <si>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</si>
  <si>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</si>
  <si>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</si>
  <si>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</si>
  <si>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</si>
  <si>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</si>
  <si>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</si>
  <si>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</si>
  <si>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</si>
  <si>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</si>
  <si>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</si>
  <si>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</si>
  <si>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</si>
  <si>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</si>
  <si>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</si>
  <si>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</si>
  <si>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</si>
  <si>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</si>
  <si>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</si>
  <si>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</si>
  <si>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</si>
  <si>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</si>
  <si>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</si>
  <si>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</si>
  <si>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</si>
  <si>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</si>
  <si>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</si>
  <si>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</si>
  <si>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</si>
  <si>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</si>
  <si>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</si>
  <si>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</si>
  <si>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</si>
  <si>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</si>
  <si>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</si>
  <si>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</si>
  <si>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</si>
  <si>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</si>
  <si>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</si>
  <si>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</si>
  <si>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</si>
  <si>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</si>
  <si>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</si>
  <si>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</si>
  <si>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</si>
  <si>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</si>
  <si>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</si>
  <si>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</si>
  <si>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</si>
  <si>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</si>
  <si>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</si>
  <si>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</si>
  <si>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</si>
  <si>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</si>
  <si>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</si>
  <si>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</si>
  <si>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</si>
  <si>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</si>
  <si>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</si>
  <si>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</si>
  <si>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</si>
  <si>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</si>
  <si>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</si>
  <si>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</si>
  <si>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</si>
  <si>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</si>
  <si>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</si>
  <si>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</si>
  <si>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</si>
  <si>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</si>
  <si>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</si>
  <si>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</si>
  <si>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</si>
  <si>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</si>
  <si>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</si>
  <si>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</si>
  <si>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</si>
  <si>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</si>
  <si>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</si>
  <si>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</si>
  <si>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</si>
  <si>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</si>
  <si>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</si>
  <si>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</si>
  <si>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</si>
  <si>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</si>
  <si>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</si>
  <si>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</si>
  <si>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</si>
  <si>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</si>
  <si>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</si>
  <si>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</si>
  <si>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</si>
  <si>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</si>
  <si>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</si>
  <si>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</si>
  <si>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</si>
  <si>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</si>
  <si>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</si>
  <si>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</si>
  <si>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</si>
  <si>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</si>
  <si>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</si>
  <si>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</si>
  <si>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</si>
  <si>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</si>
  <si>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</si>
  <si>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</si>
  <si>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</si>
  <si>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</si>
  <si>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</si>
  <si>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</si>
  <si>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</si>
  <si>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</si>
  <si>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</si>
  <si>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</si>
  <si>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</si>
  <si>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</si>
  <si>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</si>
  <si>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</si>
  <si>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</si>
  <si>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</si>
  <si>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</si>
  <si>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</si>
  <si>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</si>
  <si>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</si>
  <si>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</si>
  <si>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</si>
  <si>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</si>
  <si>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</si>
  <si>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</si>
  <si>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</si>
  <si>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</si>
  <si>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</si>
  <si>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</si>
  <si>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</si>
  <si>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</si>
  <si>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</si>
  <si>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</si>
  <si>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</si>
  <si>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</si>
  <si>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</si>
  <si>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</si>
  <si>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</si>
  <si>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</si>
  <si>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</si>
  <si>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</si>
  <si>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</si>
  <si>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</si>
  <si>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</si>
  <si>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</si>
  <si>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</si>
  <si>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</si>
  <si>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</si>
  <si>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</si>
  <si>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</si>
  <si>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</si>
  <si>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</si>
  <si>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</si>
  <si>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</si>
  <si>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</si>
  <si>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</si>
  <si>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</si>
  <si>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</si>
  <si>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</si>
  <si>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</si>
  <si>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</si>
  <si>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</si>
  <si>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</si>
  <si>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</si>
  <si>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</si>
  <si>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</si>
  <si>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</si>
  <si>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</si>
  <si>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</si>
  <si>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</si>
  <si>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</si>
  <si>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</si>
  <si>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</si>
  <si>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</si>
  <si>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</si>
  <si>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</si>
  <si>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</si>
  <si>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</si>
  <si>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</si>
  <si>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</si>
  <si>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</si>
  <si>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</si>
  <si>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</si>
  <si>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</si>
  <si>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</si>
  <si>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</si>
  <si>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</si>
  <si>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</si>
  <si>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</si>
  <si>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</si>
  <si>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</si>
  <si>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</si>
  <si>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</si>
  <si>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</si>
  <si>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</si>
  <si>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</si>
  <si>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</si>
  <si>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</si>
  <si>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</si>
  <si>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</si>
  <si>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</si>
  <si>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</si>
  <si>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</si>
  <si>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</si>
  <si>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</si>
  <si>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</si>
  <si>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</si>
  <si>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</si>
  <si>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</si>
  <si>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</si>
  <si>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</si>
  <si>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</si>
  <si>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</si>
  <si>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</si>
  <si>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</si>
  <si>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</si>
  <si>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</si>
  <si>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</si>
  <si>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</si>
  <si>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</si>
  <si>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</si>
  <si>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</si>
  <si>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</si>
  <si>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</si>
  <si>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</si>
  <si>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</si>
  <si>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</si>
  <si>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</si>
  <si>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</si>
  <si>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</si>
  <si>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</si>
  <si>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</si>
  <si>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</si>
  <si>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</si>
  <si>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</si>
  <si>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</si>
  <si>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</si>
  <si>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</si>
  <si>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</si>
  <si>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</si>
  <si>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</si>
  <si>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</si>
  <si>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</si>
  <si>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</si>
  <si>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</si>
  <si>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</si>
  <si>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</si>
  <si>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</si>
  <si>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</si>
  <si>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</si>
  <si>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</si>
  <si>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</si>
  <si>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</si>
  <si>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</si>
  <si>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</si>
  <si>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</si>
  <si>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</si>
  <si>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</si>
  <si>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</si>
  <si>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</si>
  <si>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</si>
  <si>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</si>
  <si>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</si>
  <si>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</si>
  <si>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</si>
  <si>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</si>
  <si>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</si>
  <si>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</si>
  <si>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</si>
  <si>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</si>
  <si>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</si>
  <si>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</si>
  <si>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</si>
  <si>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</si>
  <si>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</si>
  <si>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</si>
  <si>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</si>
  <si>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</si>
  <si>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</si>
  <si>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</si>
  <si>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</si>
  <si>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</si>
  <si>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</si>
  <si>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</si>
  <si>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</si>
  <si>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</si>
  <si>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</si>
  <si>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</si>
  <si>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</si>
  <si>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</si>
  <si>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</si>
  <si>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</si>
  <si>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</si>
  <si>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</si>
  <si>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</si>
  <si>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</si>
  <si>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</si>
  <si>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</si>
  <si>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</si>
  <si>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</si>
  <si>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</si>
  <si>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</si>
  <si>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</si>
  <si>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</si>
  <si>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</si>
  <si>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</si>
  <si>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</si>
  <si>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</si>
  <si>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</si>
  <si>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</si>
  <si>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</si>
  <si>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</si>
  <si>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</si>
  <si>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</si>
  <si>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</si>
  <si>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</si>
  <si>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</si>
  <si>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</si>
  <si>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</si>
  <si>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</si>
  <si>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</si>
  <si>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</si>
  <si>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</si>
  <si>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</si>
  <si>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</si>
  <si>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</si>
  <si>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</si>
  <si>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</si>
  <si>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</si>
  <si>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</si>
  <si>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</si>
  <si>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</si>
  <si>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</si>
  <si>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</si>
  <si>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</si>
  <si>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</si>
  <si>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</si>
  <si>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</si>
  <si>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</si>
  <si>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</si>
  <si>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</si>
  <si>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</si>
  <si>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</si>
  <si>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</si>
  <si>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</si>
  <si>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</si>
  <si>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</si>
  <si>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</si>
  <si>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</si>
  <si>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</si>
  <si>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</si>
  <si>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</si>
  <si>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</si>
  <si>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</si>
  <si>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</si>
  <si>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</si>
  <si>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</si>
  <si>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</si>
  <si>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</si>
  <si>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</si>
  <si>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</si>
  <si>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</si>
  <si>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</si>
  <si>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</si>
  <si>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</si>
  <si>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</si>
  <si>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</si>
  <si>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</si>
  <si>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</si>
  <si>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</si>
  <si>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</si>
  <si>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</si>
  <si>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</si>
  <si>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</si>
  <si>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</si>
  <si>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</si>
  <si>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</si>
  <si>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</si>
  <si>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</si>
  <si>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</si>
  <si>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</si>
  <si>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</si>
  <si>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</si>
  <si>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</si>
  <si>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</si>
  <si>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</si>
  <si>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</si>
  <si>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</si>
  <si>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</si>
  <si>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</si>
  <si>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</si>
  <si>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</si>
  <si>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</si>
  <si>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</si>
  <si>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</si>
  <si>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</si>
  <si>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</si>
  <si>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</si>
  <si>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</si>
  <si>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</si>
  <si>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</si>
  <si>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</si>
  <si>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</si>
  <si>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</si>
  <si>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</si>
  <si>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</si>
  <si>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</si>
  <si>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</si>
  <si>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</si>
  <si>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</si>
  <si>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</si>
  <si>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</si>
  <si>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</si>
  <si>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</si>
  <si>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</si>
  <si>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</si>
  <si>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</si>
  <si>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</si>
  <si>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</si>
  <si>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</si>
  <si>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</si>
  <si>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</si>
  <si>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</si>
  <si>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</si>
  <si>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</si>
  <si>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</si>
  <si>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</si>
  <si>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</si>
  <si>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</si>
  <si>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</si>
  <si>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</si>
  <si>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</si>
  <si>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</si>
  <si>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</si>
  <si>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</si>
  <si>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</si>
  <si>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</si>
  <si>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</si>
  <si>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</si>
  <si>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</si>
  <si>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</si>
  <si>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</si>
  <si>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</si>
  <si>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</si>
  <si>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</si>
  <si>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</si>
  <si>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</si>
  <si>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</si>
  <si>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</si>
  <si>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</si>
  <si>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</si>
  <si>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</si>
  <si>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</si>
  <si>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</si>
  <si>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</si>
  <si>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</si>
  <si>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</si>
  <si>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</si>
  <si>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</si>
  <si>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</si>
  <si>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</si>
  <si>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</si>
  <si>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</si>
  <si>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</si>
  <si>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</si>
  <si>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</si>
  <si>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</si>
  <si>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</si>
  <si>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</si>
  <si>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</si>
  <si>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</si>
  <si>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</si>
  <si>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</si>
  <si>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</si>
  <si>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</si>
  <si>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</si>
  <si>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</si>
  <si>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</si>
  <si>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</si>
  <si>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</si>
  <si>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</si>
  <si>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</si>
  <si>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</si>
  <si>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</si>
  <si>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</si>
  <si>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</si>
  <si>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</si>
  <si>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</si>
  <si>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</si>
  <si>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</si>
  <si>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</si>
  <si>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</si>
  <si>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</si>
  <si>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</si>
  <si>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</si>
  <si>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</si>
  <si>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</si>
  <si>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</si>
  <si>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</si>
  <si>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</si>
  <si>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</si>
  <si>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</si>
  <si>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</si>
  <si>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</si>
  <si>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</si>
  <si>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</si>
  <si>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</si>
  <si>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</si>
  <si>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</si>
  <si>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</si>
  <si>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</si>
  <si>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</si>
  <si>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</si>
  <si>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</si>
  <si>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</si>
  <si>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</si>
  <si>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</si>
  <si>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</si>
  <si>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</si>
  <si>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</si>
  <si>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</si>
  <si>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</si>
  <si>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</si>
  <si>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</si>
  <si>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</si>
  <si>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</si>
  <si>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</si>
  <si>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</si>
  <si>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</si>
  <si>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</si>
  <si>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</si>
  <si>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</si>
  <si>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</si>
  <si>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</si>
  <si>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</si>
  <si>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</si>
  <si>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</si>
  <si>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</si>
  <si>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</si>
  <si>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</si>
  <si>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</si>
  <si>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</si>
  <si>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</si>
  <si>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</si>
  <si>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</si>
  <si>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</si>
  <si>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</si>
  <si>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</si>
  <si>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</si>
  <si>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</si>
  <si>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</si>
  <si>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</si>
  <si>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</si>
  <si>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</si>
  <si>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</si>
  <si>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</si>
  <si>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</si>
  <si>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</si>
  <si>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</si>
  <si>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</si>
  <si>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</si>
  <si>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</si>
  <si>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</si>
  <si>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</si>
  <si>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</si>
  <si>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</si>
  <si>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</si>
  <si>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</si>
  <si>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</si>
  <si>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</si>
  <si>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</si>
  <si>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</si>
  <si>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</si>
  <si>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</si>
  <si>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</si>
  <si>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</si>
  <si>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</si>
  <si>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</si>
  <si>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</si>
  <si>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</si>
  <si>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</si>
  <si>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</si>
  <si>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</si>
  <si>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</si>
  <si>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</si>
  <si>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</si>
  <si>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</si>
  <si>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</si>
  <si>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</si>
  <si>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</si>
  <si>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</si>
  <si>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</si>
  <si>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</si>
  <si>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</si>
  <si>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</si>
  <si>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</si>
  <si>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</si>
  <si>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</si>
  <si>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</si>
  <si>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</si>
  <si>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</si>
  <si>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</si>
  <si>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</si>
  <si>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</si>
  <si>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</si>
  <si>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</si>
  <si>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</si>
  <si>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</si>
  <si>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</si>
  <si>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</si>
  <si>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</si>
  <si>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</si>
  <si>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</si>
  <si>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</si>
  <si>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</si>
  <si>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</si>
  <si>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</si>
  <si>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</si>
  <si>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</si>
  <si>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</si>
  <si>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</si>
  <si>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</si>
  <si>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</si>
  <si>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</si>
  <si>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</si>
  <si>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</si>
  <si>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</si>
  <si>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</si>
  <si>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</si>
  <si>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</si>
  <si>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</si>
  <si>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</si>
  <si>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</si>
  <si>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</si>
  <si>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</si>
  <si>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</si>
  <si>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</si>
  <si>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</si>
  <si>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</si>
  <si>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</si>
  <si>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</si>
  <si>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</si>
  <si>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</si>
  <si>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</si>
  <si>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</si>
  <si>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</si>
  <si>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</si>
  <si>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</si>
  <si>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</si>
  <si>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</si>
  <si>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</si>
  <si>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</si>
  <si>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</si>
  <si>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</si>
  <si>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</si>
  <si>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</si>
  <si>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</si>
  <si>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</si>
  <si>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</si>
  <si>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</si>
  <si>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</si>
  <si>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</si>
  <si>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</si>
  <si>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</si>
  <si>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</si>
  <si>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</si>
  <si>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</si>
  <si>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</si>
  <si>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</si>
  <si>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</si>
  <si>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</si>
  <si>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</si>
  <si>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</si>
  <si>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</si>
  <si>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</si>
  <si>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</si>
  <si>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</si>
  <si>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</si>
  <si>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</si>
  <si>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</si>
  <si>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</si>
  <si>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</si>
  <si>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</si>
  <si>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</si>
  <si>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</si>
  <si>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</si>
  <si>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</si>
  <si>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</si>
  <si>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</si>
  <si>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</si>
  <si>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</si>
  <si>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</si>
  <si>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</si>
  <si>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</si>
  <si>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</si>
  <si>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</si>
  <si>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</si>
  <si>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</si>
  <si>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</si>
  <si>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</si>
  <si>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</si>
  <si>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</si>
  <si>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</si>
  <si>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</si>
  <si>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</si>
  <si>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</si>
  <si>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</si>
  <si>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</si>
  <si>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</si>
  <si>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</si>
  <si>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</si>
  <si>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</si>
  <si>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</si>
  <si>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</si>
  <si>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</si>
  <si>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</si>
  <si>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</si>
  <si>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</si>
  <si>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</si>
  <si>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</si>
  <si>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</si>
  <si>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</si>
  <si>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</si>
  <si>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</si>
  <si>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</si>
  <si>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</si>
  <si>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</si>
  <si>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</si>
  <si>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</si>
  <si>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</si>
  <si>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</si>
  <si>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</si>
  <si>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</si>
  <si>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</si>
  <si>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</si>
  <si>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</si>
  <si>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</si>
  <si>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</si>
  <si>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</si>
  <si>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</si>
  <si>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</si>
  <si>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</si>
  <si>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</si>
  <si>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</si>
  <si>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</si>
  <si>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</si>
  <si>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</si>
  <si>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</si>
  <si>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</si>
  <si>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</si>
  <si>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</si>
  <si>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</si>
  <si>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</si>
  <si>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</si>
  <si>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</si>
  <si>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</si>
  <si>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</si>
  <si>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</si>
  <si>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</si>
  <si>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</si>
  <si>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</si>
  <si>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</si>
  <si>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</si>
  <si>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</si>
  <si>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</si>
  <si>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</si>
  <si>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</si>
  <si>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</si>
  <si>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</si>
  <si>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</si>
  <si>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</si>
  <si>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</si>
  <si>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</si>
  <si>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</si>
  <si>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</si>
  <si>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</si>
  <si>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</si>
  <si>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</si>
  <si>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</si>
  <si>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</si>
  <si>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</si>
  <si>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</si>
  <si>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</si>
  <si>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</si>
  <si>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</si>
  <si>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</si>
  <si>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</si>
  <si>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</si>
  <si>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</si>
  <si>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</si>
  <si>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</si>
  <si>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</si>
  <si>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</si>
  <si>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</si>
  <si>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</si>
  <si>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</si>
  <si>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</si>
  <si>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</si>
  <si>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</si>
  <si>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</si>
  <si>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</si>
  <si>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</si>
  <si>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</si>
  <si>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</si>
  <si>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</si>
  <si>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</si>
  <si>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</si>
  <si>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</si>
  <si>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</si>
  <si>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</si>
  <si>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</si>
  <si>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</si>
  <si>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</si>
  <si>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</si>
  <si>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</si>
  <si>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</si>
  <si>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</si>
  <si>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</si>
  <si>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</si>
  <si>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</si>
  <si>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</si>
  <si>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</si>
  <si>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</si>
  <si>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</si>
  <si>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</si>
  <si>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</si>
  <si>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</si>
  <si>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</si>
  <si>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</si>
  <si>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</si>
  <si>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</si>
  <si>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</si>
  <si>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</si>
  <si>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</si>
  <si>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</si>
  <si>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</si>
  <si>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</si>
  <si>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</si>
  <si>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</si>
  <si>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</si>
  <si>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</si>
  <si>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</si>
  <si>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</si>
  <si>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</si>
  <si>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</si>
  <si>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</si>
  <si>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</si>
  <si>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</si>
  <si>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</si>
  <si>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</si>
  <si>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</si>
  <si>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</si>
  <si>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</si>
  <si>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</si>
  <si>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</si>
  <si>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</si>
  <si>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</si>
  <si>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</si>
  <si>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</si>
  <si>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</si>
  <si>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</si>
  <si>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</si>
  <si>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</si>
  <si>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</si>
  <si>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</si>
  <si>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</si>
  <si>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</si>
  <si>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</si>
  <si>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</si>
  <si>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</si>
  <si>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</si>
  <si>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</si>
  <si>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</si>
  <si>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</si>
  <si>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</si>
  <si>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</si>
  <si>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</si>
  <si>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</si>
  <si>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</si>
  <si>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</si>
  <si>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</si>
  <si>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</si>
  <si>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</si>
  <si>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</si>
  <si>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</si>
  <si>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</si>
  <si>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</si>
  <si>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</si>
  <si>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</si>
  <si>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</si>
  <si>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</si>
  <si>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</si>
  <si>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</si>
  <si>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</si>
  <si>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</si>
  <si>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</si>
  <si>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</si>
  <si>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</si>
  <si>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</si>
  <si>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</si>
  <si>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</si>
  <si>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</si>
  <si>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</si>
  <si>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</si>
  <si>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</si>
  <si>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</si>
  <si>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</si>
  <si>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</si>
  <si>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</si>
  <si>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</si>
  <si>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</si>
  <si>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</si>
  <si>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</si>
  <si>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</si>
  <si>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</si>
  <si>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</si>
  <si>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</si>
  <si>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</si>
  <si>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</si>
  <si>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</si>
  <si>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</si>
  <si>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</si>
  <si>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</si>
  <si>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</si>
  <si>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</si>
  <si>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</si>
  <si>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</si>
  <si>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</si>
  <si>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</si>
  <si>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</si>
  <si>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</si>
  <si>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</si>
  <si>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</si>
  <si>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</si>
  <si>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</si>
  <si>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</si>
  <si>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</si>
  <si>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</si>
  <si>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</si>
  <si>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</si>
  <si>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</si>
  <si>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</si>
  <si>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</si>
  <si>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</si>
  <si>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</si>
  <si>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</si>
  <si>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</si>
  <si>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</si>
  <si>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</si>
  <si>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</si>
  <si>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</si>
  <si>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</si>
  <si>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</si>
  <si>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</si>
  <si>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</si>
  <si>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</si>
  <si>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</si>
  <si>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</si>
  <si>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</si>
  <si>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</si>
  <si>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</si>
  <si>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</si>
  <si>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</si>
  <si>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</si>
  <si>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</si>
  <si>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</si>
  <si>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</si>
  <si>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</si>
  <si>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</si>
  <si>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</si>
  <si>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</si>
  <si>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</si>
  <si>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</si>
  <si>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</si>
  <si>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</si>
  <si>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</si>
  <si>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</si>
  <si>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</si>
  <si>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</si>
  <si>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</si>
  <si>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</si>
  <si>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</si>
  <si>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</si>
  <si>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</si>
  <si>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</si>
  <si>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</si>
  <si>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</si>
  <si>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</si>
  <si>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</si>
  <si>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</si>
  <si>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</si>
  <si>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</si>
  <si>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</si>
  <si>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</si>
  <si>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</si>
  <si>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</si>
  <si>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</si>
  <si>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</si>
  <si>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</si>
  <si>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</si>
  <si>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</si>
  <si>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</si>
  <si>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</si>
  <si>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</si>
  <si>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</si>
  <si>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</si>
  <si>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</si>
  <si>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</si>
  <si>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</si>
  <si>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</si>
  <si>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</si>
  <si>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</si>
  <si>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</si>
  <si>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</si>
  <si>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</si>
  <si>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</si>
  <si>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</si>
  <si>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</si>
  <si>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</si>
  <si>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</si>
  <si>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</si>
  <si>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</si>
  <si>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</si>
  <si>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</si>
  <si>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</si>
  <si>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</si>
  <si>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</si>
  <si>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</si>
  <si>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</si>
  <si>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</si>
  <si>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</si>
  <si>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</si>
  <si>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</si>
  <si>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</si>
  <si>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</si>
  <si>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</si>
  <si>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</si>
  <si>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</si>
  <si>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</si>
  <si>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</si>
  <si>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</si>
  <si>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</si>
  <si>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</si>
  <si>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</si>
  <si>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</si>
  <si>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</si>
  <si>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</si>
  <si>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</si>
  <si>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</si>
  <si>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</si>
  <si>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</si>
  <si>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</si>
  <si>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</si>
  <si>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</si>
  <si>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</si>
  <si>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</si>
  <si>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</si>
  <si>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</si>
  <si>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</si>
  <si>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</si>
  <si>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</si>
  <si>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</si>
  <si>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</si>
  <si>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</si>
  <si>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</si>
  <si>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</si>
  <si>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</si>
  <si>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</si>
  <si>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</si>
  <si>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</si>
  <si>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</si>
  <si>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</si>
  <si>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</si>
  <si>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</si>
  <si>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</si>
  <si>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</si>
  <si>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</si>
  <si>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</si>
  <si>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</si>
  <si>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</si>
  <si>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</si>
  <si>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</si>
  <si>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</si>
  <si>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</si>
  <si>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</si>
  <si>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</si>
  <si>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</si>
  <si>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</si>
  <si>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</si>
  <si>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</si>
  <si>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</si>
  <si>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</si>
  <si>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</si>
  <si>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</si>
  <si>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</si>
  <si>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</si>
  <si>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</si>
  <si>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</si>
  <si>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</si>
  <si>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</si>
  <si>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</si>
  <si>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</si>
  <si>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</si>
  <si>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</si>
  <si>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</si>
  <si>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</si>
  <si>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</si>
  <si>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</si>
  <si>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</si>
  <si>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</si>
  <si>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</si>
  <si>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</si>
  <si>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</si>
  <si>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</si>
  <si>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</si>
  <si>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</si>
  <si>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</si>
  <si>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</si>
  <si>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</si>
  <si>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</si>
  <si>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</si>
  <si>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</si>
  <si>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</si>
  <si>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</si>
  <si>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</si>
  <si>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</si>
  <si>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</si>
  <si>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</si>
  <si>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</si>
  <si>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</si>
  <si>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</si>
  <si>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</si>
  <si>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</si>
  <si>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</si>
  <si>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</si>
  <si>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</si>
  <si>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</si>
  <si>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</si>
  <si>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</si>
  <si>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</si>
  <si>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</si>
  <si>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</si>
  <si>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</si>
  <si>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</si>
  <si>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</si>
  <si>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</si>
  <si>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</si>
  <si>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</si>
  <si>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</si>
  <si>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</si>
  <si>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</si>
  <si>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</si>
  <si>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</si>
  <si>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</si>
  <si>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</si>
  <si>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</si>
  <si>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</si>
  <si>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</si>
  <si>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</si>
  <si>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</si>
  <si>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</si>
  <si>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</si>
  <si>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</si>
  <si>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</si>
  <si>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</si>
  <si>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</si>
  <si>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</si>
  <si>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</si>
  <si>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</si>
  <si>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</si>
  <si>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</si>
  <si>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</si>
  <si>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</si>
  <si>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</si>
  <si>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</si>
  <si>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</si>
  <si>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</si>
  <si>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</si>
  <si>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</si>
  <si>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</si>
  <si>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</si>
  <si>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</si>
  <si>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</si>
  <si>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</si>
  <si>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</si>
  <si>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</si>
  <si>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</si>
  <si>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</si>
  <si>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</si>
  <si>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</si>
  <si>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</si>
  <si>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</si>
  <si>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</si>
  <si>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</si>
  <si>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</si>
  <si>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</si>
  <si>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</si>
  <si>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</si>
  <si>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</si>
  <si>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</si>
  <si>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</si>
  <si>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</si>
  <si>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</si>
  <si>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</si>
  <si>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</si>
  <si>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</si>
  <si>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</si>
  <si>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</si>
  <si>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</si>
  <si>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</si>
  <si>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</si>
  <si>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</si>
  <si>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</si>
  <si>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</si>
  <si>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</si>
  <si>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</si>
  <si>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</si>
  <si>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</si>
  <si>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</si>
  <si>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</si>
  <si>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</si>
  <si>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</si>
  <si>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</si>
  <si>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</si>
  <si>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</si>
  <si>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</si>
  <si>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</si>
  <si>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</si>
  <si>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</si>
  <si>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</si>
  <si>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</si>
  <si>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</si>
  <si>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</si>
  <si>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</si>
  <si>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</si>
  <si>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</si>
  <si>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</si>
  <si>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</si>
  <si>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</si>
  <si>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</si>
  <si>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</si>
  <si>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</si>
  <si>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</si>
  <si>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</si>
  <si>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</si>
  <si>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</si>
  <si>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</si>
  <si>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</si>
  <si>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</si>
  <si>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</si>
  <si>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</si>
  <si>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</si>
  <si>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</si>
  <si>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</si>
  <si>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</si>
  <si>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</si>
  <si>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</si>
  <si>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</si>
  <si>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</si>
  <si>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</si>
  <si>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</si>
  <si>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</si>
  <si>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</si>
  <si>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</si>
  <si>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</si>
  <si>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</si>
  <si>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</si>
  <si>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</si>
  <si>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</si>
  <si>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</si>
  <si>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</si>
  <si>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</si>
  <si>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</si>
  <si>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</si>
  <si>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</si>
  <si>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</si>
  <si>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</si>
  <si>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</si>
  <si>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</si>
  <si>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</si>
  <si>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</si>
  <si>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</si>
  <si>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</si>
  <si>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</si>
  <si>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</si>
  <si>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</si>
  <si>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</si>
  <si>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</si>
  <si>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</si>
  <si>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</si>
  <si>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</si>
  <si>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</si>
  <si>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</si>
  <si>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</si>
  <si>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</si>
  <si>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</si>
  <si>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</si>
  <si>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</si>
  <si>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</si>
  <si>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</si>
  <si>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</si>
  <si>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</si>
  <si>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</si>
  <si>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</si>
  <si>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</si>
  <si>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</si>
  <si>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</si>
  <si>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</si>
  <si>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</si>
  <si>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</si>
  <si>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</si>
  <si>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</si>
  <si>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</si>
  <si>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</si>
  <si>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</si>
  <si>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</si>
  <si>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</si>
  <si>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</si>
  <si>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</si>
  <si>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</si>
  <si>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</si>
  <si>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</si>
  <si>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</si>
  <si>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</si>
  <si>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</si>
  <si>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</si>
  <si>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</si>
  <si>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</si>
  <si>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</si>
  <si>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</si>
  <si>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</si>
  <si>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</si>
  <si>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</si>
  <si>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</si>
  <si>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</si>
  <si>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</si>
  <si>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</si>
  <si>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</si>
  <si>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</si>
  <si>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</si>
  <si>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</si>
  <si>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</si>
  <si>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</si>
  <si>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</si>
  <si>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</si>
  <si>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</si>
  <si>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</si>
  <si>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</si>
  <si>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</si>
  <si>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</si>
  <si>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</si>
  <si>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</si>
  <si>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</si>
  <si>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</si>
  <si>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</si>
  <si>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</si>
  <si>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</si>
  <si>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</si>
  <si>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</si>
  <si>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</si>
  <si>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</si>
  <si>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</si>
  <si>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</si>
  <si>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</si>
  <si>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</si>
  <si>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</si>
  <si>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</si>
  <si>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</si>
  <si>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</si>
  <si>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</si>
  <si>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</si>
  <si>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</si>
  <si>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</si>
  <si>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</si>
  <si>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</si>
  <si>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</si>
  <si>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</si>
  <si>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</si>
  <si>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</si>
  <si>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</si>
  <si>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</si>
  <si>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</si>
  <si>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</si>
  <si>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</si>
  <si>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</si>
  <si>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</si>
  <si>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</si>
  <si>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</si>
  <si>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</si>
  <si>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</si>
  <si>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</si>
  <si>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</si>
  <si>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</si>
  <si>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</si>
  <si>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</si>
  <si>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</si>
  <si>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</si>
  <si>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</si>
  <si>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</si>
  <si>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</si>
  <si>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</si>
  <si>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</si>
  <si>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</si>
  <si>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</si>
  <si>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</si>
  <si>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</si>
  <si>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</si>
  <si>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</si>
  <si>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</si>
  <si>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</si>
  <si>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</si>
  <si>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</si>
  <si>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</si>
  <si>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</si>
  <si>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</si>
  <si>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</si>
  <si>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</si>
  <si>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</si>
  <si>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</si>
  <si>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</si>
  <si>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</si>
  <si>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</si>
  <si>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</si>
  <si>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</si>
  <si>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</si>
  <si>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</si>
  <si>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</si>
  <si>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</si>
  <si>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</si>
  <si>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</si>
  <si>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</si>
  <si>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</si>
  <si>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</si>
  <si>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</si>
  <si>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</si>
  <si>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</si>
  <si>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</si>
  <si>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</si>
  <si>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</si>
  <si>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</si>
  <si>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</si>
  <si>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</si>
  <si>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</si>
  <si>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</si>
  <si>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</si>
  <si>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</si>
  <si>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</si>
  <si>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</si>
  <si>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</si>
  <si>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</si>
  <si>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</si>
  <si>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</si>
  <si>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</si>
  <si>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</si>
  <si>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</si>
  <si>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</si>
  <si>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</si>
  <si>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</si>
  <si>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</si>
  <si>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</si>
  <si>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</si>
  <si>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</si>
  <si>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</si>
  <si>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</si>
  <si>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</si>
  <si>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</si>
  <si>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</si>
  <si>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</si>
  <si>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</si>
  <si>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</si>
  <si>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</si>
  <si>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</si>
  <si>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</si>
  <si>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</si>
  <si>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</si>
  <si>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</si>
  <si>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</si>
  <si>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</si>
  <si>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</si>
  <si>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</si>
  <si>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</si>
  <si>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</si>
  <si>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</si>
  <si>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</si>
  <si>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</si>
  <si>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</si>
  <si>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</si>
  <si>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</si>
  <si>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</si>
  <si>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</si>
  <si>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</si>
  <si>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</si>
  <si>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</si>
  <si>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</si>
  <si>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</si>
  <si>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</si>
  <si>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</si>
  <si>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</si>
  <si>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</si>
  <si>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</si>
  <si>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</si>
  <si>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</si>
  <si>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</si>
  <si>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</si>
  <si>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</si>
  <si>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</si>
  <si>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</si>
  <si>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</si>
  <si>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</si>
  <si>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</si>
  <si>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</si>
  <si>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</si>
  <si>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</si>
  <si>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</si>
  <si>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</si>
  <si>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</si>
  <si>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</si>
  <si>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</si>
  <si>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</si>
  <si>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</si>
  <si>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</si>
  <si>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</si>
  <si>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</si>
  <si>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</si>
  <si>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</si>
  <si>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</si>
  <si>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</si>
  <si>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</si>
  <si>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</si>
  <si>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</si>
  <si>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</si>
  <si>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</si>
  <si>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</si>
  <si>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</si>
  <si>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</si>
  <si>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</si>
  <si>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</si>
  <si>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</si>
  <si>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</si>
  <si>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</si>
  <si>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</si>
  <si>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</si>
  <si>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</si>
  <si>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</si>
  <si>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</si>
  <si>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</si>
  <si>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</si>
  <si>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</si>
  <si>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</si>
  <si>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</si>
  <si>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</si>
  <si>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</si>
  <si>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</si>
  <si>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</si>
  <si>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</si>
  <si>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</si>
  <si>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</si>
  <si>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</si>
  <si>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</si>
  <si>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</si>
  <si>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</si>
  <si>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</si>
  <si>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</si>
  <si>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</si>
  <si>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</si>
  <si>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</si>
  <si>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</si>
  <si>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</si>
  <si>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</si>
  <si>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</si>
  <si>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</si>
  <si>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</si>
  <si>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</si>
  <si>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</si>
  <si>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</si>
  <si>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</si>
  <si>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</si>
  <si>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</si>
  <si>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</si>
  <si>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</si>
  <si>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</si>
  <si>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</si>
  <si>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</si>
  <si>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</si>
  <si>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</si>
  <si>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</si>
  <si>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</si>
  <si>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</si>
  <si>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</si>
  <si>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</si>
  <si>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</si>
  <si>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</si>
  <si>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</si>
  <si>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</si>
  <si>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</si>
  <si>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</si>
  <si>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</si>
  <si>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</si>
  <si>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</si>
  <si>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</si>
  <si>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</si>
  <si>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</si>
  <si>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</si>
  <si>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</si>
  <si>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</si>
  <si>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</si>
  <si>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</si>
  <si>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</si>
  <si>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</si>
  <si>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</si>
  <si>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</si>
  <si>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</si>
  <si>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</si>
  <si>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</si>
  <si>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</si>
  <si>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</si>
  <si>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</si>
  <si>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</si>
  <si>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</si>
  <si>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</si>
  <si>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</si>
  <si>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</si>
  <si>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</si>
  <si>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</si>
  <si>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</si>
  <si>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</si>
  <si>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</si>
  <si>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</si>
  <si>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</si>
  <si>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</si>
  <si>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</si>
  <si>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</si>
  <si>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</si>
  <si>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</si>
  <si>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</si>
  <si>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</si>
  <si>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</si>
  <si>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</si>
  <si>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</si>
  <si>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</si>
  <si>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</si>
  <si>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</si>
  <si>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</si>
  <si>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</si>
  <si>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</si>
  <si>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</si>
  <si>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</si>
  <si>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</si>
  <si>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</si>
  <si>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</si>
  <si>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</si>
  <si>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</si>
  <si>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</si>
  <si>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</si>
  <si>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</si>
  <si>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</si>
  <si>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</si>
  <si>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</si>
  <si>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</si>
  <si>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</si>
  <si>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</si>
  <si>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</si>
  <si>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</si>
  <si>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</si>
  <si>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</si>
  <si>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</si>
  <si>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</si>
  <si>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</si>
  <si>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</si>
  <si>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</si>
  <si>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</si>
  <si>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</si>
  <si>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</si>
  <si>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</si>
  <si>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</si>
  <si>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</si>
  <si>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</si>
  <si>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</si>
  <si>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</si>
  <si>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</si>
  <si>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</si>
  <si>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</si>
  <si>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</si>
  <si>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</si>
  <si>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</si>
  <si>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</si>
  <si>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</si>
  <si>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</si>
  <si>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</si>
  <si>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</si>
  <si>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</si>
  <si>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</si>
  <si>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</si>
  <si>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</si>
  <si>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</si>
  <si>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</si>
  <si>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</si>
  <si>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</si>
  <si>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</si>
  <si>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</si>
  <si>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</si>
  <si>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</si>
  <si>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</si>
  <si>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</si>
  <si>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</si>
  <si>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</si>
  <si>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</si>
  <si>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</si>
  <si>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</si>
  <si>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</si>
  <si>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</si>
  <si>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</si>
  <si>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</si>
  <si>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</si>
  <si>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</si>
  <si>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</si>
  <si>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</si>
  <si>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</si>
  <si>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</si>
  <si>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</si>
  <si>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</si>
  <si>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</si>
  <si>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</si>
  <si>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</si>
  <si>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</si>
  <si>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</si>
  <si>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</si>
  <si>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</si>
  <si>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</si>
  <si>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</si>
  <si>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</si>
  <si>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</si>
  <si>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</si>
  <si>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</si>
  <si>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</si>
  <si>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</si>
  <si>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</si>
  <si>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</si>
  <si>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</si>
  <si>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</si>
  <si>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</si>
  <si>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</si>
  <si>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</si>
  <si>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</si>
  <si>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</si>
  <si>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</si>
  <si>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</si>
  <si>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</si>
  <si>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</si>
  <si>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</si>
  <si>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</si>
  <si>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</si>
  <si>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</si>
  <si>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</si>
  <si>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</si>
  <si>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</si>
  <si>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</si>
  <si>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</si>
  <si>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</si>
  <si>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</si>
  <si>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</si>
  <si>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</si>
  <si>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</si>
  <si>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</si>
  <si>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</si>
  <si>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</si>
  <si>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</si>
  <si>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</si>
  <si>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</si>
  <si>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</si>
  <si>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</si>
  <si>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</si>
  <si>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</si>
  <si>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</si>
  <si>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</si>
  <si>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</si>
  <si>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</si>
  <si>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</si>
  <si>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</si>
  <si>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</si>
  <si>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</si>
  <si>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</si>
  <si>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</si>
  <si>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</si>
  <si>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</si>
  <si>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</si>
  <si>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</si>
  <si>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</si>
  <si>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</si>
  <si>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</si>
  <si>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</si>
  <si>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</si>
  <si>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</si>
  <si>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</si>
  <si>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</si>
  <si>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</si>
  <si>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</si>
  <si>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</si>
  <si>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</si>
  <si>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</si>
  <si>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</si>
  <si>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</si>
  <si>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</si>
  <si>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</si>
  <si>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</si>
  <si>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</si>
  <si>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</si>
  <si>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</si>
  <si>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</si>
  <si>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</si>
  <si>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</si>
  <si>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</si>
  <si>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</si>
  <si>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</si>
  <si>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</si>
  <si>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</si>
  <si>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</si>
  <si>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</si>
  <si>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</si>
  <si>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</si>
  <si>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</si>
  <si>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</si>
  <si>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</si>
  <si>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</si>
  <si>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</si>
  <si>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</si>
  <si>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</si>
  <si>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</si>
  <si>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</si>
  <si>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</si>
  <si>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</si>
  <si>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</si>
  <si>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</si>
  <si>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</si>
  <si>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</si>
  <si>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</si>
  <si>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</si>
  <si>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</si>
  <si>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</si>
  <si>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</si>
  <si>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</si>
  <si>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</si>
  <si>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</si>
  <si>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</si>
  <si>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</si>
  <si>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</si>
  <si>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</si>
  <si>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</si>
  <si>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</si>
  <si>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</si>
  <si>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</si>
  <si>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</si>
  <si>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</si>
  <si>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</si>
  <si>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</si>
  <si>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</si>
  <si>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</si>
  <si>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</si>
  <si>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</si>
  <si>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</si>
  <si>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</si>
  <si>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</si>
  <si>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</si>
  <si>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</si>
  <si>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</si>
  <si>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</si>
  <si>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</si>
  <si>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</si>
  <si>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</si>
  <si>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</si>
  <si>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</si>
  <si>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</si>
  <si>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</si>
  <si>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</si>
  <si>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</si>
  <si>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</si>
  <si>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</si>
  <si>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</si>
  <si>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</si>
  <si>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</si>
  <si>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</si>
  <si>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</si>
  <si>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</si>
  <si>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</si>
  <si>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</si>
  <si>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</si>
  <si>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</si>
  <si>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</si>
  <si>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</si>
  <si>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</si>
  <si>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</si>
  <si>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</si>
  <si>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</si>
  <si>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</si>
  <si>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</si>
  <si>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</si>
  <si>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</si>
  <si>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</si>
  <si>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</si>
  <si>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</si>
  <si>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</si>
  <si>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</si>
  <si>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</si>
  <si>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</si>
  <si>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</si>
  <si>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</si>
  <si>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</si>
  <si>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</si>
  <si>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</si>
  <si>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</si>
  <si>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</si>
  <si>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</si>
  <si>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</si>
  <si>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</si>
  <si>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</si>
  <si>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</si>
  <si>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</si>
  <si>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</si>
  <si>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</si>
  <si>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</si>
  <si>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</si>
  <si>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</si>
  <si>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</si>
  <si>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</si>
  <si>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</si>
  <si>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</si>
  <si>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</si>
  <si>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</si>
  <si>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</si>
  <si>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</si>
  <si>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</si>
  <si>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</si>
  <si>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</si>
  <si>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</si>
  <si>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</si>
  <si>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</si>
  <si>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</si>
  <si>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</si>
  <si>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</si>
  <si>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</si>
  <si>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</si>
  <si>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</si>
  <si>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</si>
  <si>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</si>
  <si>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</si>
  <si>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</si>
  <si>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</si>
  <si>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</si>
  <si>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</si>
  <si>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</si>
  <si>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</si>
  <si>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</si>
  <si>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</si>
  <si>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</si>
  <si>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</si>
  <si>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</si>
  <si>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</si>
  <si>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</si>
  <si>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</si>
  <si>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</si>
  <si>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</si>
  <si>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</si>
  <si>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</si>
  <si>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</si>
  <si>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</si>
  <si>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</si>
  <si>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</si>
  <si>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</si>
  <si>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</si>
  <si>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</si>
  <si>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</si>
  <si>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</si>
  <si>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</si>
  <si>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</si>
  <si>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</si>
  <si>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</si>
  <si>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</si>
  <si>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</si>
  <si>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</si>
  <si>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</si>
  <si>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</si>
  <si>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</si>
  <si>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</si>
  <si>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</si>
  <si>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</si>
  <si>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</si>
  <si>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</si>
  <si>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</si>
  <si>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</si>
  <si>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</si>
  <si>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</si>
  <si>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</si>
  <si>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</si>
  <si>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</si>
  <si>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</si>
  <si>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</si>
  <si>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</si>
  <si>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</si>
  <si>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</si>
  <si>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</si>
  <si>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</si>
  <si>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</si>
  <si>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</si>
  <si>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</si>
  <si>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</si>
  <si>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</si>
  <si>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</si>
  <si>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</si>
  <si>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</si>
  <si>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</si>
  <si>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</si>
  <si>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</si>
  <si>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</si>
  <si>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</si>
  <si>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</si>
  <si>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</si>
  <si>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</si>
  <si>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</si>
  <si>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</si>
  <si>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</si>
  <si>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</si>
  <si>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</si>
  <si>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</si>
  <si>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</si>
  <si>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</si>
  <si>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</si>
  <si>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</si>
  <si>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</si>
  <si>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</si>
  <si>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</si>
  <si>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</si>
  <si>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</si>
  <si>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</si>
  <si>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</si>
  <si>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</si>
  <si>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</si>
  <si>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</si>
  <si>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</si>
  <si>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</si>
  <si>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</si>
  <si>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</si>
  <si>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</si>
  <si>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</si>
  <si>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</si>
  <si>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</si>
  <si>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</si>
  <si>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</si>
  <si>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</si>
  <si>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</si>
  <si>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</si>
  <si>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</si>
  <si>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</si>
  <si>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</si>
  <si>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</si>
  <si>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</si>
  <si>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</si>
  <si>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</si>
  <si>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</si>
  <si>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</si>
  <si>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</si>
  <si>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</si>
  <si>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</si>
  <si>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</si>
  <si>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</si>
  <si>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</si>
  <si>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</si>
  <si>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</si>
  <si>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</si>
  <si>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</si>
  <si>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</si>
  <si>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</si>
  <si>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</si>
  <si>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</si>
  <si>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</si>
  <si>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</si>
  <si>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</si>
  <si>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</si>
  <si>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</si>
  <si>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</si>
  <si>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</si>
  <si>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</si>
  <si>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</si>
  <si>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</si>
  <si>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</si>
  <si>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</si>
  <si>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</si>
  <si>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</si>
  <si>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</si>
  <si>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</si>
  <si>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</si>
  <si>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</si>
  <si>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</si>
  <si>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</si>
  <si>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</si>
  <si>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</si>
  <si>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</si>
  <si>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</si>
  <si>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</si>
  <si>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</si>
  <si>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</si>
  <si>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</si>
  <si>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</si>
  <si>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</si>
  <si>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</si>
  <si>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</si>
  <si>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</si>
  <si>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</si>
  <si>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</si>
  <si>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</si>
  <si>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</si>
  <si>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</si>
  <si>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</si>
  <si>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</si>
  <si>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</si>
  <si>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</si>
  <si>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</si>
  <si>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</si>
  <si>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</si>
  <si>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</si>
  <si>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</si>
  <si>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</si>
  <si>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</si>
  <si>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</si>
  <si>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</si>
  <si>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</si>
  <si>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</si>
  <si>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</si>
  <si>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</si>
  <si>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</si>
  <si>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</si>
  <si>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</si>
  <si>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</si>
  <si>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</si>
  <si>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</si>
  <si>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</si>
  <si>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</si>
  <si>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</si>
  <si>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</si>
  <si>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</si>
  <si>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</si>
  <si>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</si>
  <si>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</si>
  <si>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</si>
  <si>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</si>
  <si>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</si>
  <si>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</si>
  <si>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</si>
  <si>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</si>
  <si>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</si>
  <si>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</si>
  <si>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</si>
  <si>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</si>
  <si>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</si>
  <si>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</si>
  <si>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</si>
  <si>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</si>
  <si>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</si>
  <si>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</si>
  <si>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</si>
  <si>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</si>
  <si>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</si>
  <si>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</si>
  <si>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</si>
  <si>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</si>
  <si>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</si>
  <si>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</si>
  <si>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</si>
  <si>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</si>
  <si>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</si>
  <si>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</si>
  <si>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</si>
  <si>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</si>
  <si>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</si>
  <si>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</si>
  <si>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</si>
  <si>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</si>
  <si>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</si>
  <si>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</si>
  <si>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</si>
  <si>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</si>
  <si>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</si>
  <si>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</si>
  <si>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</si>
  <si>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</si>
  <si>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</si>
  <si>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</si>
  <si>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</si>
  <si>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</si>
  <si>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</si>
  <si>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</si>
  <si>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</si>
  <si>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</si>
  <si>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</si>
  <si>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</si>
  <si>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</si>
  <si>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</si>
  <si>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</si>
  <si>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</si>
  <si>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</si>
  <si>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</si>
  <si>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</si>
  <si>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</si>
  <si>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</si>
  <si>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</si>
  <si>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</si>
  <si>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</si>
  <si>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</si>
  <si>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</si>
  <si>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</si>
  <si>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</si>
  <si>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</si>
  <si>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</si>
  <si>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</si>
  <si>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</si>
  <si>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</si>
  <si>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</si>
  <si>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</si>
  <si>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</si>
  <si>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</si>
  <si>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</si>
  <si>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</si>
  <si>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</si>
  <si>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</si>
  <si>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</si>
  <si>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</si>
  <si>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</si>
  <si>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</si>
  <si>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</si>
  <si>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</si>
  <si>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</si>
  <si>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</si>
  <si>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</si>
  <si>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</si>
  <si>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</si>
  <si>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</si>
  <si>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</si>
  <si>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</si>
  <si>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</si>
  <si>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</si>
  <si>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</si>
  <si>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</si>
  <si>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</si>
  <si>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</si>
  <si>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</si>
  <si>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</si>
  <si>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</si>
  <si>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</si>
  <si>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</si>
  <si>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</si>
  <si>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</si>
  <si>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</si>
  <si>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</si>
  <si>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</si>
  <si>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</si>
  <si>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</si>
  <si>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</si>
  <si>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</si>
  <si>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</si>
  <si>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</si>
  <si>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</si>
  <si>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</si>
  <si>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</si>
  <si>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</si>
  <si>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</si>
  <si>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</si>
  <si>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</si>
  <si>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</si>
  <si>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</si>
  <si>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</si>
  <si>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</si>
  <si>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</si>
  <si>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</si>
  <si>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</si>
  <si>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</si>
  <si>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</si>
  <si>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</si>
  <si>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</si>
  <si>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</si>
  <si>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</si>
  <si>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</si>
  <si>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</si>
  <si>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</si>
  <si>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</si>
  <si>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</si>
  <si>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</si>
  <si>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</si>
  <si>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</si>
  <si>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</si>
  <si>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</si>
  <si>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</si>
  <si>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</si>
  <si>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</si>
  <si>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</si>
  <si>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</si>
  <si>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</si>
  <si>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</si>
  <si>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</si>
  <si>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</si>
  <si>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</si>
  <si>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</si>
  <si>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</si>
  <si>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</si>
  <si>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</si>
  <si>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</si>
  <si>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</si>
  <si>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</si>
  <si>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</si>
  <si>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</si>
  <si>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</si>
  <si>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</si>
  <si>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</si>
  <si>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</si>
  <si>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</si>
  <si>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</si>
  <si>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</si>
  <si>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</si>
  <si>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</si>
  <si>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</si>
  <si>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</si>
  <si>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</si>
  <si>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</si>
  <si>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</si>
  <si>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</si>
  <si>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</si>
  <si>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</si>
  <si>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</si>
  <si>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</si>
  <si>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</si>
  <si>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</si>
  <si>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</si>
  <si>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</si>
  <si>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</si>
  <si>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</si>
  <si>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</si>
  <si>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</si>
  <si>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</si>
  <si>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</si>
  <si>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</si>
  <si>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</si>
  <si>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</si>
  <si>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</si>
  <si>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</si>
  <si>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</si>
  <si>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</si>
  <si>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</si>
  <si>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</si>
  <si>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</si>
  <si>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</si>
  <si>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</si>
  <si>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</si>
  <si>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</si>
  <si>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</si>
  <si>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</si>
  <si>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</si>
  <si>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</si>
  <si>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</si>
  <si>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</si>
  <si>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</si>
  <si>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</si>
  <si>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</si>
  <si>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</si>
  <si>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</si>
  <si>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</si>
  <si>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</si>
  <si>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</si>
  <si>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</si>
  <si>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</si>
  <si>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</si>
  <si>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</si>
  <si>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</si>
  <si>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</si>
  <si>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</si>
  <si>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</si>
  <si>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</si>
  <si>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</si>
  <si>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</si>
  <si>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</si>
  <si>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</si>
  <si>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</si>
  <si>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</si>
  <si>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</si>
  <si>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</si>
  <si>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</si>
  <si>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</si>
  <si>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</si>
  <si>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</si>
  <si>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</si>
  <si>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</si>
  <si>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</si>
  <si>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</si>
  <si>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</si>
  <si>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</si>
  <si>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</si>
  <si>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</si>
  <si>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</si>
  <si>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</si>
  <si>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</si>
  <si>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</si>
  <si>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</si>
  <si>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</si>
  <si>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</si>
  <si>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</si>
  <si>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</si>
  <si>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</si>
  <si>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</si>
  <si>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</si>
  <si>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</si>
  <si>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</si>
  <si>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</si>
  <si>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</si>
  <si>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</si>
  <si>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</si>
  <si>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</si>
  <si>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</si>
  <si>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</si>
  <si>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</si>
  <si>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</si>
  <si>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</si>
  <si>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</si>
  <si>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</si>
  <si>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</si>
  <si>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</si>
  <si>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</si>
  <si>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</si>
  <si>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</si>
  <si>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</si>
  <si>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</si>
  <si>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</si>
  <si>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</si>
  <si>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</si>
  <si>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</si>
  <si>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</si>
  <si>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</si>
  <si>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</si>
  <si>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</si>
  <si>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</si>
  <si>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</si>
  <si>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</si>
  <si>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</si>
  <si>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</si>
  <si>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</si>
  <si>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</si>
  <si>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</si>
  <si>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</si>
  <si>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</si>
  <si>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</si>
  <si>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</si>
  <si>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</si>
  <si>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</si>
  <si>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</si>
  <si>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</si>
  <si>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</si>
  <si>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</si>
  <si>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</si>
  <si>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</si>
  <si>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</si>
  <si>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</si>
  <si>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</si>
  <si>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</si>
  <si>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</si>
  <si>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</si>
  <si>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</si>
  <si>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</si>
  <si>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</si>
  <si>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</si>
  <si>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</si>
  <si>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</si>
  <si>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</si>
  <si>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</si>
  <si>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</si>
  <si>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</si>
  <si>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</si>
  <si>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</si>
  <si>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</si>
  <si>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</si>
  <si>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</si>
  <si>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</si>
  <si>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</si>
  <si>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</si>
  <si>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</si>
  <si>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</si>
  <si>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</si>
  <si>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</si>
  <si>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</si>
  <si>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</si>
  <si>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</si>
  <si>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</si>
  <si>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</si>
  <si>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</si>
  <si>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</si>
  <si>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</si>
  <si>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</si>
  <si>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</si>
  <si>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</si>
  <si>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</si>
  <si>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</si>
  <si>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</si>
  <si>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</si>
  <si>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</si>
  <si>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</si>
  <si>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</si>
  <si>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</si>
  <si>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</si>
  <si>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</si>
  <si>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</si>
  <si>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</si>
  <si>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</si>
  <si>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</si>
  <si>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</si>
  <si>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</si>
  <si>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</si>
  <si>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</si>
  <si>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</si>
  <si>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</si>
  <si>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</si>
  <si>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</si>
  <si>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</si>
  <si>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</si>
  <si>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</si>
  <si>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</si>
  <si>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</si>
  <si>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</si>
  <si>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</si>
  <si>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</si>
  <si>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</si>
  <si>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</si>
  <si>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</si>
  <si>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</si>
  <si>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</si>
  <si>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</si>
  <si>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</si>
  <si>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</si>
  <si>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</si>
  <si>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</si>
  <si>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</si>
  <si>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</si>
  <si>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</si>
  <si>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</si>
  <si>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</si>
  <si>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</si>
  <si>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</si>
  <si>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</si>
  <si>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</si>
  <si>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</si>
  <si>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</si>
  <si>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</si>
  <si>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</si>
  <si>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</si>
  <si>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</si>
  <si>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</si>
  <si>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</si>
  <si>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</si>
  <si>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</si>
  <si>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</si>
  <si>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</si>
  <si>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</si>
  <si>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</si>
  <si>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</si>
  <si>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</si>
  <si>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</si>
  <si>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</si>
  <si>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</si>
  <si>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</si>
  <si>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</si>
  <si>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</si>
  <si>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</si>
  <si>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</si>
  <si>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</si>
  <si>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</si>
  <si>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</si>
  <si>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</si>
  <si>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</si>
  <si>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</si>
  <si>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</si>
  <si>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</si>
  <si>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</si>
  <si>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</si>
  <si>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</si>
  <si>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</si>
  <si>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</si>
  <si>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</si>
  <si>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</si>
  <si>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</si>
  <si>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</si>
  <si>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</si>
  <si>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</si>
  <si>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</si>
  <si>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</si>
  <si>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</si>
  <si>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</si>
  <si>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</si>
  <si>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</si>
  <si>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</si>
  <si>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</si>
  <si>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</si>
  <si>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</si>
  <si>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</si>
  <si>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</si>
  <si>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</si>
  <si>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</si>
  <si>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</si>
  <si>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</si>
  <si>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</si>
  <si>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</si>
  <si>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</si>
  <si>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</si>
  <si>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</si>
  <si>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</si>
  <si>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</si>
  <si>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</si>
  <si>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</si>
  <si>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</si>
  <si>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</si>
  <si>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</si>
  <si>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</si>
  <si>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</si>
  <si>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</si>
  <si>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</si>
  <si>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</si>
  <si>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</si>
  <si>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</si>
  <si>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</si>
  <si>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</si>
  <si>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</si>
  <si>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</si>
  <si>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</si>
  <si>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</si>
  <si>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</si>
  <si>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</si>
  <si>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</si>
  <si>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</si>
  <si>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</si>
  <si>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</si>
  <si>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</si>
  <si>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</si>
  <si>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</si>
  <si>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</si>
  <si>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</si>
  <si>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</si>
  <si>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</si>
  <si>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</si>
  <si>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</si>
  <si>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</si>
  <si>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</si>
  <si>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</si>
  <si>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</si>
  <si>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</si>
  <si>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</si>
  <si>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</si>
  <si>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</si>
  <si>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</si>
  <si>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</si>
  <si>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</si>
  <si>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</si>
  <si>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</si>
  <si>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</si>
  <si>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</si>
  <si>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</si>
  <si>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</si>
  <si>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</si>
  <si>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</si>
  <si>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</si>
  <si>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</si>
  <si>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</si>
  <si>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</si>
  <si>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</si>
  <si>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</si>
  <si>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</si>
  <si>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</si>
  <si>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</si>
  <si>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</si>
  <si>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</si>
  <si>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</si>
  <si>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</si>
  <si>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</si>
  <si>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</si>
  <si>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</si>
  <si>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</si>
  <si>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</si>
  <si>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</si>
  <si>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</si>
  <si>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</si>
  <si>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</si>
  <si>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</si>
  <si>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</si>
  <si>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</si>
  <si>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</si>
  <si>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</si>
  <si>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</si>
  <si>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</si>
  <si>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</si>
  <si>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</si>
  <si>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</si>
  <si>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</si>
  <si>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</si>
  <si>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</si>
  <si>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</si>
  <si>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</si>
  <si>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</si>
  <si>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</si>
  <si>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</si>
  <si>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</si>
  <si>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</si>
  <si>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</si>
  <si>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</si>
  <si>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</si>
  <si>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</si>
  <si>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</si>
  <si>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</si>
  <si>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</si>
  <si>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</si>
  <si>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</si>
  <si>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</si>
  <si>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</si>
  <si>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</si>
  <si>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</si>
  <si>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</si>
  <si>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</si>
  <si>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</si>
  <si>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</si>
  <si>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</si>
  <si>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</si>
  <si>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</si>
  <si>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</si>
  <si>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</si>
  <si>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</si>
  <si>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</si>
  <si>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</si>
  <si>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</si>
  <si>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</si>
  <si>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</si>
  <si>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</si>
  <si>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</si>
  <si>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</si>
  <si>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</si>
  <si>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</si>
  <si>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</si>
  <si>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</si>
  <si>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</si>
  <si>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</si>
  <si>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</si>
  <si>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</si>
  <si>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</si>
  <si>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</si>
  <si>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</si>
  <si>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</si>
  <si>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</si>
  <si>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</si>
  <si>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</si>
  <si>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</si>
  <si>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</si>
  <si>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</si>
  <si>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</si>
  <si>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</si>
  <si>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</si>
  <si>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</si>
  <si>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</si>
  <si>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</si>
  <si>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</si>
  <si>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</si>
  <si>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</si>
  <si>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</si>
  <si>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</si>
  <si>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</si>
  <si>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</si>
  <si>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</si>
  <si>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</si>
  <si>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</si>
  <si>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</si>
  <si>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</si>
  <si>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</si>
  <si>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</si>
  <si>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</si>
  <si>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</si>
  <si>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</si>
  <si>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</si>
  <si>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</si>
  <si>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</si>
  <si>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</si>
  <si>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</si>
  <si>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</si>
  <si>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</si>
  <si>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</si>
  <si>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</si>
  <si>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</si>
  <si>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</si>
  <si>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</si>
  <si>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</si>
  <si>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</si>
  <si>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</si>
  <si>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</si>
  <si>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</si>
  <si>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</si>
  <si>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</si>
  <si>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</si>
  <si>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</si>
  <si>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</si>
  <si>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</si>
  <si>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</si>
  <si>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</si>
  <si>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</si>
  <si>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</si>
  <si>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</si>
  <si>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</si>
  <si>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</si>
  <si>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</si>
  <si>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</si>
  <si>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</si>
  <si>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</si>
  <si>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</si>
  <si>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</si>
  <si>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</si>
  <si>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</si>
  <si>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</si>
  <si>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</si>
  <si>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</si>
  <si>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</si>
  <si>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</si>
  <si>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</si>
  <si>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</si>
  <si>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</si>
  <si>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</si>
  <si>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</si>
  <si>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</si>
  <si>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</si>
  <si>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</si>
  <si>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</si>
  <si>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</si>
  <si>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</si>
  <si>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</si>
  <si>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</si>
  <si>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</si>
  <si>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</si>
  <si>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</si>
  <si>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</si>
  <si>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</si>
  <si>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</si>
  <si>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</si>
  <si>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</si>
  <si>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</si>
  <si>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</si>
  <si>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</si>
  <si>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</si>
  <si>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</si>
  <si>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</si>
  <si>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</si>
  <si>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</si>
  <si>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</si>
  <si>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</si>
  <si>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</si>
  <si>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</si>
  <si>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</si>
  <si>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</si>
  <si>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</si>
  <si>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</si>
  <si>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</si>
  <si>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</si>
  <si>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</si>
  <si>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</si>
  <si>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</si>
  <si>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</si>
  <si>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</si>
  <si>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</si>
  <si>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</si>
  <si>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</si>
  <si>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</si>
  <si>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</si>
  <si>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</si>
  <si>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</si>
  <si>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</si>
  <si>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</si>
  <si>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</si>
  <si>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</si>
  <si>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</si>
  <si>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</si>
  <si>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</si>
  <si>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</si>
  <si>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</si>
  <si>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</si>
  <si>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</si>
  <si>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</si>
  <si>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</si>
  <si>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</si>
  <si>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</si>
  <si>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</si>
  <si>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</si>
  <si>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</si>
  <si>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</si>
  <si>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</si>
  <si>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</si>
  <si>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</si>
  <si>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</si>
  <si>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</si>
  <si>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</si>
  <si>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</si>
  <si>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</si>
  <si>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</si>
  <si>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</si>
  <si>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</si>
  <si>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</si>
  <si>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</si>
  <si>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</si>
  <si>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</si>
  <si>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</si>
  <si>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</si>
  <si>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</si>
  <si>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</si>
  <si>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</si>
  <si>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</si>
  <si>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</si>
  <si>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</si>
  <si>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</si>
  <si>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</si>
  <si>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</si>
  <si>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</si>
  <si>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</si>
  <si>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</si>
  <si>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</si>
  <si>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</si>
  <si>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</si>
  <si>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</si>
  <si>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</si>
  <si>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</si>
  <si>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</si>
  <si>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</si>
  <si>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</si>
  <si>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</si>
  <si>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</si>
  <si>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</si>
  <si>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</si>
  <si>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</si>
  <si>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</si>
  <si>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</si>
  <si>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</si>
  <si>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</si>
  <si>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</si>
  <si>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</si>
  <si>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</si>
  <si>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</si>
  <si>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</si>
  <si>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</si>
  <si>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</si>
  <si>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</si>
  <si>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</si>
  <si>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</si>
  <si>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</si>
  <si>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</si>
  <si>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</si>
  <si>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</si>
  <si>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</si>
  <si>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</si>
  <si>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</si>
  <si>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</si>
  <si>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</si>
  <si>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</si>
  <si>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</si>
  <si>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</si>
  <si>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</si>
  <si>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</si>
  <si>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</si>
  <si>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</si>
  <si>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</si>
  <si>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</si>
  <si>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</si>
  <si>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</si>
  <si>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</si>
  <si>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</si>
  <si>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</si>
  <si>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</si>
  <si>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</si>
  <si>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</si>
  <si>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</si>
  <si>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</si>
  <si>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</si>
  <si>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</si>
  <si>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</si>
  <si>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</si>
  <si>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</si>
  <si>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</si>
  <si>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</si>
  <si>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</si>
  <si>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</si>
  <si>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</si>
  <si>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</si>
  <si>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</si>
  <si>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</si>
  <si>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</si>
  <si>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</si>
  <si>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</si>
  <si>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</si>
  <si>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</si>
  <si>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</si>
  <si>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</si>
  <si>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</si>
  <si>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</si>
  <si>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</si>
  <si>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</si>
  <si>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</si>
  <si>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</si>
  <si>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</si>
  <si>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</si>
  <si>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</si>
  <si>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</si>
  <si>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</si>
  <si>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</si>
  <si>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</si>
  <si>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</si>
  <si>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</si>
  <si>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</si>
  <si>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</si>
  <si>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</si>
  <si>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</si>
  <si>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</si>
  <si>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</si>
  <si>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</si>
  <si>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</si>
  <si>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</si>
  <si>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</si>
  <si>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</si>
  <si>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</si>
  <si>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</si>
  <si>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</si>
  <si>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</si>
  <si>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</si>
  <si>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</si>
  <si>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</si>
  <si>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</si>
  <si>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</si>
  <si>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</si>
  <si>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</si>
  <si>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</si>
  <si>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</si>
  <si>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</si>
  <si>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</si>
  <si>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</si>
  <si>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</si>
  <si>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</si>
  <si>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</si>
  <si>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</si>
  <si>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</si>
  <si>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</si>
  <si>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</si>
  <si>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</si>
  <si>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</si>
  <si>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</si>
  <si>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</si>
  <si>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</si>
  <si>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</si>
  <si>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</si>
  <si>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</si>
  <si>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</si>
  <si>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</si>
  <si>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</si>
  <si>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</si>
  <si>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</si>
  <si>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</si>
  <si>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</si>
  <si>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</si>
  <si>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</si>
  <si>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</si>
  <si>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</si>
  <si>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</si>
  <si>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</si>
  <si>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</si>
  <si>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</si>
  <si>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</si>
  <si>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</si>
  <si>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</si>
  <si>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</si>
  <si>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</si>
  <si>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</si>
  <si>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</si>
  <si>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</si>
  <si>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</si>
  <si>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</si>
  <si>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</si>
  <si>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</si>
  <si>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</si>
  <si>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</si>
  <si>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</si>
  <si>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</si>
  <si>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</si>
  <si>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</si>
  <si>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</si>
  <si>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</si>
  <si>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</si>
  <si>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</si>
  <si>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</si>
  <si>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</si>
  <si>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</si>
  <si>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</si>
  <si>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</si>
  <si>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</si>
  <si>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</si>
  <si>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</si>
  <si>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</si>
  <si>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</si>
  <si>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</si>
  <si>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</si>
  <si>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</si>
  <si>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</si>
  <si>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</si>
  <si>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</si>
  <si>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</si>
  <si>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</si>
  <si>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</si>
  <si>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</si>
  <si>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</si>
  <si>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</si>
  <si>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</si>
  <si>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</si>
  <si>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</si>
  <si>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</si>
  <si>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</si>
  <si>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</si>
  <si>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</si>
  <si>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</si>
  <si>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</si>
  <si>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</si>
  <si>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</si>
  <si>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</si>
  <si>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</si>
  <si>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</si>
  <si>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</si>
  <si>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</si>
  <si>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</si>
  <si>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</si>
  <si>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</si>
  <si>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</si>
  <si>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</si>
  <si>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</si>
  <si>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</si>
  <si>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</si>
  <si>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</si>
  <si>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</si>
  <si>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</si>
  <si>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</si>
  <si>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</si>
  <si>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</si>
  <si>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</si>
  <si>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</si>
  <si>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</si>
  <si>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</si>
  <si>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</si>
  <si>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</si>
  <si>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</si>
  <si>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</si>
  <si>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</si>
  <si>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</si>
  <si>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</si>
  <si>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</si>
  <si>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</si>
  <si>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</si>
  <si>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</si>
  <si>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</si>
  <si>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</si>
  <si>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</si>
  <si>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</si>
  <si>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</si>
  <si>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</si>
  <si>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</si>
  <si>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</si>
  <si>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</si>
  <si>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</si>
  <si>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</si>
  <si>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</si>
  <si>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</si>
  <si>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</si>
  <si>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</si>
  <si>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</si>
  <si>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</si>
  <si>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</si>
  <si>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</si>
  <si>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</si>
  <si>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</si>
  <si>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</si>
  <si>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</si>
  <si>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</si>
  <si>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</si>
  <si>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</si>
  <si>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</si>
  <si>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</si>
  <si>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</si>
  <si>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</si>
  <si>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</si>
  <si>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</si>
  <si>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</si>
  <si>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</si>
  <si>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</si>
  <si>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</si>
  <si>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</si>
  <si>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</si>
  <si>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</si>
  <si>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</si>
  <si>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</si>
  <si>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</si>
  <si>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</si>
  <si>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</si>
  <si>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</si>
  <si>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</si>
  <si>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</si>
  <si>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</si>
  <si>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</si>
  <si>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</si>
  <si>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</si>
  <si>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</si>
  <si>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</si>
  <si>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</si>
  <si>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</si>
  <si>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</si>
  <si>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</si>
  <si>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</si>
  <si>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</si>
  <si>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</si>
  <si>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</si>
  <si>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</si>
  <si>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</si>
  <si>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</si>
  <si>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</si>
  <si>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</si>
  <si>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</si>
  <si>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</si>
  <si>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</si>
  <si>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</si>
  <si>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</si>
  <si>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</si>
  <si>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</si>
  <si>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</si>
  <si>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</si>
  <si>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</si>
  <si>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</si>
  <si>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</si>
  <si>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</si>
  <si>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</si>
  <si>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</si>
  <si>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</si>
  <si>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</si>
  <si>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</si>
  <si>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</si>
  <si>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</si>
  <si>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</si>
  <si>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</si>
  <si>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</si>
  <si>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</si>
  <si>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</si>
  <si>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</si>
  <si>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</si>
  <si>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</si>
  <si>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</si>
  <si>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</si>
  <si>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</si>
  <si>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</si>
  <si>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</si>
  <si>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</si>
  <si>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</si>
  <si>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</si>
  <si>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</si>
  <si>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</si>
  <si>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</si>
  <si>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</si>
  <si>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</si>
  <si>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</si>
  <si>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</si>
  <si>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</si>
  <si>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</si>
  <si>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</si>
  <si>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</si>
  <si>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</si>
  <si>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</si>
  <si>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</si>
  <si>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</si>
  <si>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</si>
  <si>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</si>
  <si>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</si>
  <si>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</si>
  <si>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</si>
  <si>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</si>
  <si>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</si>
  <si>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</si>
  <si>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</si>
  <si>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</si>
  <si>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</si>
  <si>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</si>
  <si>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</si>
  <si>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</si>
  <si>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</si>
  <si>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</si>
  <si>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</si>
  <si>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</si>
  <si>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</si>
  <si>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</si>
  <si>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</si>
  <si>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</si>
  <si>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</si>
  <si>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</si>
  <si>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</si>
  <si>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</si>
  <si>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</si>
  <si>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</si>
  <si>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</si>
  <si>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</si>
  <si>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</si>
  <si>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</si>
  <si>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</si>
  <si>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</si>
  <si>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</si>
  <si>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</si>
  <si>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</si>
  <si>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</si>
  <si>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</si>
  <si>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</si>
  <si>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</si>
  <si>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</si>
  <si>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</si>
  <si>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</si>
  <si>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</si>
  <si>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</si>
  <si>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</si>
  <si>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</si>
  <si>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</si>
  <si>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</si>
  <si>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</si>
  <si>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</si>
  <si>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</si>
  <si>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</si>
  <si>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</si>
  <si>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</si>
  <si>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</si>
  <si>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</si>
  <si>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</si>
  <si>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</si>
  <si>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</si>
  <si>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</si>
  <si>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</si>
  <si>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</si>
  <si>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</si>
  <si>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</si>
  <si>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</si>
  <si>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</si>
  <si>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</si>
  <si>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</si>
  <si>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</si>
  <si>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</si>
  <si>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</si>
  <si>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</si>
  <si>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</si>
  <si>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</si>
  <si>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</si>
  <si>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</si>
  <si>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</si>
  <si>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</si>
  <si>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</si>
  <si>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</si>
  <si>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</si>
  <si>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</si>
  <si>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</si>
  <si>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</si>
  <si>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</si>
  <si>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</si>
  <si>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</si>
  <si>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</si>
  <si>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</si>
  <si>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</si>
  <si>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</si>
  <si>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</si>
  <si>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</si>
  <si>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</si>
  <si>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</si>
  <si>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</si>
  <si>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</si>
  <si>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</si>
  <si>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</si>
  <si>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</si>
  <si>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</si>
  <si>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</si>
  <si>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</si>
  <si>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</si>
  <si>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</si>
  <si>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</si>
  <si>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</si>
  <si>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</si>
  <si>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</si>
  <si>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</si>
  <si>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</si>
  <si>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</si>
  <si>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</si>
  <si>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</si>
  <si>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</si>
  <si>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</si>
  <si>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</si>
  <si>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</si>
  <si>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</si>
  <si>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</si>
  <si>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</si>
  <si>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</si>
  <si>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</si>
  <si>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</si>
  <si>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</si>
  <si>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</si>
  <si>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</si>
  <si>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</si>
  <si>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</si>
  <si>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</si>
  <si>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</si>
  <si>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</si>
  <si>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</si>
  <si>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</si>
  <si>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</si>
  <si>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</si>
  <si>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</si>
  <si>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</si>
  <si>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</si>
  <si>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</si>
  <si>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</si>
  <si>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</si>
  <si>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</si>
  <si>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</si>
  <si>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</si>
  <si>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</si>
  <si>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</si>
  <si>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</si>
  <si>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</si>
  <si>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</si>
  <si>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</si>
  <si>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</si>
  <si>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</si>
  <si>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</si>
  <si>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</si>
  <si>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</si>
  <si>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</si>
  <si>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</si>
  <si>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</si>
  <si>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</si>
  <si>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</si>
  <si>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</si>
  <si>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</si>
  <si>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</si>
  <si>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</si>
  <si>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</si>
  <si>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</si>
  <si>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</si>
  <si>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</si>
  <si>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</si>
  <si>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</si>
  <si>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</si>
  <si>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</si>
  <si>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</si>
  <si>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</si>
  <si>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</si>
  <si>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</si>
  <si>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</si>
  <si>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</si>
  <si>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</si>
  <si>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</si>
  <si>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</si>
  <si>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</si>
  <si>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</si>
  <si>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</si>
  <si>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</si>
  <si>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</si>
  <si>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</si>
  <si>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</si>
  <si>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</si>
  <si>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</si>
  <si>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</si>
  <si>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</si>
  <si>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</si>
  <si>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</si>
  <si>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</si>
  <si>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</si>
  <si>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</si>
  <si>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</si>
  <si>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</si>
  <si>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</si>
  <si>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</si>
  <si>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</si>
  <si>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</si>
  <si>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</si>
  <si>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</si>
  <si>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</si>
  <si>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</si>
  <si>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</si>
  <si>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</si>
  <si>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</si>
  <si>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</si>
  <si>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</si>
  <si>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</si>
  <si>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</si>
  <si>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</si>
  <si>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</si>
  <si>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</si>
  <si>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</si>
  <si>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</si>
  <si>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</si>
  <si>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</si>
  <si>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</si>
  <si>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</si>
  <si>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</si>
  <si>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</si>
  <si>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</si>
  <si>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</si>
  <si>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</si>
  <si>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</si>
  <si>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</si>
  <si>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</si>
  <si>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</si>
  <si>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</si>
  <si>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</si>
  <si>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</si>
  <si>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</si>
  <si>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</si>
  <si>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</si>
  <si>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</si>
  <si>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</si>
  <si>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</si>
  <si>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</si>
  <si>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</si>
  <si>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</si>
  <si>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</si>
  <si>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</si>
  <si>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</si>
  <si>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</si>
  <si>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</si>
  <si>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</si>
  <si>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</si>
  <si>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</si>
  <si>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</si>
  <si>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</si>
  <si>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</si>
  <si>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</si>
  <si>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</si>
  <si>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</si>
  <si>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</si>
  <si>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</si>
  <si>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</si>
  <si>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</si>
  <si>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</si>
  <si>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</si>
  <si>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</si>
  <si>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</si>
  <si>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</si>
  <si>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</si>
  <si>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</si>
  <si>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</si>
  <si>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</si>
  <si>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</si>
  <si>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</si>
  <si>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</si>
  <si>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</si>
  <si>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</si>
  <si>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</si>
  <si>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</si>
  <si>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</si>
  <si>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</si>
  <si>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</si>
  <si>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</si>
  <si>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</si>
  <si>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</si>
  <si>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</si>
  <si>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</si>
  <si>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</si>
  <si>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</si>
  <si>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</si>
  <si>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</si>
  <si>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</si>
  <si>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</si>
  <si>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</si>
  <si>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</si>
  <si>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</si>
  <si>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</si>
  <si>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</si>
  <si>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</si>
  <si>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</si>
  <si>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</si>
  <si>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</si>
  <si>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</si>
  <si>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</si>
  <si>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</si>
  <si>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</si>
  <si>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</si>
  <si>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</si>
  <si>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</si>
  <si>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</si>
  <si>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</si>
  <si>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</si>
  <si>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</si>
  <si>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</si>
  <si>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</si>
  <si>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</si>
  <si>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</si>
  <si>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</si>
  <si>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</si>
  <si>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</si>
  <si>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</si>
  <si>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</si>
  <si>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</si>
  <si>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</si>
  <si>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</si>
  <si>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</si>
  <si>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</si>
  <si>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</si>
  <si>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</si>
  <si>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</si>
  <si>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</si>
  <si>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</si>
  <si>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</si>
  <si>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</si>
  <si>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</si>
  <si>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</si>
  <si>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</si>
  <si>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</si>
  <si>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</si>
  <si>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</si>
  <si>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</si>
  <si>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</si>
  <si>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</si>
  <si>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</si>
  <si>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</si>
  <si>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</si>
  <si>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</si>
  <si>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</si>
  <si>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</si>
  <si>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</si>
  <si>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</si>
  <si>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</si>
  <si>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</si>
  <si>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</si>
  <si>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</si>
  <si>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</si>
  <si>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</si>
  <si>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</si>
  <si>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</si>
  <si>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</si>
  <si>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</si>
  <si>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</si>
  <si>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</si>
  <si>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</si>
  <si>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</si>
  <si>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</si>
  <si>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</si>
  <si>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</si>
  <si>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</si>
  <si>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</si>
  <si>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</si>
  <si>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</si>
  <si>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</si>
  <si>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</si>
  <si>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</si>
  <si>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</si>
  <si>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</si>
  <si>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</si>
  <si>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</si>
  <si>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</si>
  <si>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</si>
  <si>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</si>
  <si>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</si>
  <si>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</si>
  <si>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</si>
  <si>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</si>
  <si>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</si>
  <si>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</si>
  <si>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</si>
  <si>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</si>
  <si>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</si>
  <si>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</si>
  <si>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</si>
  <si>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</si>
  <si>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</si>
  <si>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</si>
  <si>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</si>
  <si>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</si>
  <si>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</si>
  <si>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</si>
  <si>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</si>
  <si>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</si>
  <si>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</si>
  <si>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</si>
  <si>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</si>
  <si>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</si>
  <si>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</si>
  <si>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</si>
  <si>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</si>
  <si>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</si>
  <si>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</si>
  <si>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</si>
  <si>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</si>
  <si>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</si>
  <si>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</si>
  <si>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</si>
  <si>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</si>
  <si>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</si>
  <si>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</si>
  <si>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</si>
  <si>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</si>
  <si>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</si>
  <si>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</si>
  <si>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</si>
  <si>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</si>
  <si>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</si>
  <si>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</si>
  <si>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</si>
  <si>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</si>
  <si>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</si>
  <si>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</si>
  <si>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</si>
  <si>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</si>
  <si>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</si>
  <si>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</si>
  <si>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</si>
  <si>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</si>
  <si>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</si>
  <si>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</si>
  <si>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</si>
  <si>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</si>
  <si>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</si>
  <si>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</si>
  <si>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</si>
  <si>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</si>
  <si>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</si>
  <si>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</si>
  <si>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</si>
  <si>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</si>
  <si>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</si>
  <si>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</si>
  <si>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</si>
  <si>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</si>
  <si>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</si>
  <si>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</si>
  <si>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</si>
  <si>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</si>
  <si>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</si>
  <si>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</si>
  <si>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</si>
  <si>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</si>
  <si>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</si>
  <si>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</si>
  <si>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</si>
  <si>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</si>
  <si>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</si>
  <si>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</si>
  <si>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</si>
  <si>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</si>
  <si>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</si>
  <si>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</si>
  <si>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</si>
  <si>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</si>
  <si>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</si>
  <si>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</si>
  <si>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</si>
  <si>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</si>
  <si>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</si>
  <si>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</si>
  <si>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</si>
  <si>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</si>
  <si>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</si>
  <si>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</si>
  <si>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</si>
  <si>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</si>
  <si>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</si>
  <si>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</si>
  <si>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</si>
  <si>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</si>
  <si>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</si>
  <si>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</si>
  <si>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</si>
  <si>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</si>
  <si>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</si>
  <si>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</si>
  <si>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</si>
  <si>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</si>
  <si>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</si>
  <si>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</si>
  <si>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</si>
  <si>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</si>
  <si>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</si>
  <si>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</si>
  <si>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</si>
  <si>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</si>
  <si>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</si>
  <si>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</si>
  <si>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</si>
  <si>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</si>
  <si>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</si>
  <si>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</si>
  <si>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</si>
  <si>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</si>
  <si>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</si>
  <si>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</si>
  <si>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</si>
  <si>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</si>
  <si>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</si>
  <si>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</si>
  <si>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</si>
  <si>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</si>
  <si>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</si>
  <si>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</si>
  <si>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</si>
  <si>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</si>
  <si>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</si>
  <si>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</si>
  <si>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</si>
  <si>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</si>
  <si>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</si>
  <si>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</si>
  <si>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</si>
  <si>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</si>
  <si>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</si>
  <si>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</si>
  <si>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</si>
  <si>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</si>
  <si>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</si>
  <si>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</si>
  <si>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</si>
  <si>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</si>
  <si>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</si>
  <si>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</si>
  <si>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</si>
  <si>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</si>
  <si>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</si>
  <si>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</si>
  <si>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</si>
  <si>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</si>
  <si>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</si>
  <si>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</si>
  <si>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</si>
  <si>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</si>
  <si>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</si>
  <si>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</si>
  <si>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</si>
  <si>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</si>
  <si>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</si>
  <si>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</si>
  <si>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</si>
  <si>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</si>
  <si>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</si>
  <si>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</si>
  <si>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</si>
  <si>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</si>
  <si>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</si>
  <si>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</si>
  <si>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</si>
  <si>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</si>
  <si>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</si>
  <si>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</si>
  <si>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</si>
  <si>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</si>
  <si>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</si>
  <si>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</si>
  <si>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</si>
  <si>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</si>
  <si>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</si>
  <si>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</si>
  <si>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</si>
  <si>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</si>
  <si>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</si>
  <si>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</si>
  <si>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</si>
  <si>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</si>
  <si>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</si>
  <si>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</si>
  <si>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</si>
  <si>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</si>
  <si>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</si>
  <si>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</si>
  <si>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</si>
  <si>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</si>
  <si>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</si>
  <si>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</si>
  <si>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</si>
  <si>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</si>
  <si>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</si>
  <si>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</si>
  <si>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</si>
  <si>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</si>
  <si>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</si>
  <si>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</si>
  <si>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</si>
  <si>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</si>
  <si>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</si>
  <si>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</si>
  <si>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</si>
  <si>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</si>
  <si>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</si>
  <si>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</si>
  <si>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</si>
  <si>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</si>
  <si>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</si>
  <si>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</si>
  <si>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</si>
  <si>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</si>
  <si>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</si>
  <si>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</si>
  <si>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</si>
  <si>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</si>
  <si>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</si>
  <si>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</si>
  <si>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</si>
  <si>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</si>
  <si>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</si>
  <si>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</si>
  <si>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</si>
  <si>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</si>
  <si>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</si>
  <si>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</si>
  <si>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</si>
  <si>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</si>
  <si>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</si>
  <si>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</si>
  <si>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</si>
  <si>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</si>
  <si>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</si>
  <si>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</si>
  <si>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</si>
  <si>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</si>
  <si>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</si>
  <si>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</si>
  <si>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</si>
  <si>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</si>
  <si>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</si>
  <si>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</si>
  <si>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</si>
  <si>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</si>
  <si>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</si>
  <si>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</si>
  <si>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</si>
  <si>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</si>
  <si>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</si>
  <si>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</si>
  <si>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</si>
  <si>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</si>
  <si>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</si>
  <si>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</si>
  <si>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</si>
  <si>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</si>
  <si>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</si>
  <si>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</si>
  <si>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</si>
  <si>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</si>
  <si>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</si>
  <si>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</si>
  <si>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</si>
  <si>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</si>
  <si>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</si>
  <si>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</si>
  <si>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</si>
  <si>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</si>
  <si>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</si>
  <si>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</si>
  <si>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</si>
  <si>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</si>
  <si>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</si>
  <si>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</si>
  <si>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</si>
  <si>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</si>
  <si>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</si>
  <si>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</si>
  <si>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</si>
  <si>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</si>
  <si>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</si>
  <si>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</si>
  <si>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</si>
  <si>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</si>
  <si>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</si>
  <si>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</si>
  <si>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</si>
  <si>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</si>
  <si>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</si>
  <si>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</si>
  <si>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</si>
  <si>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</si>
  <si>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</si>
  <si>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</si>
  <si>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</si>
  <si>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</si>
  <si>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</si>
  <si>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</si>
  <si>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</si>
  <si>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</si>
  <si>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</si>
  <si>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</si>
  <si>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</si>
  <si>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</si>
  <si>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</si>
  <si>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</si>
  <si>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</si>
  <si>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</si>
  <si>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</si>
  <si>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</si>
  <si>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</si>
  <si>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</si>
  <si>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</si>
  <si>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</si>
  <si>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</si>
  <si>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</si>
  <si>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</si>
  <si>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</si>
  <si>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</si>
  <si>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</si>
  <si>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</si>
  <si>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</si>
  <si>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</si>
  <si>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</si>
  <si>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</si>
  <si>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</si>
  <si>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</si>
  <si>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</si>
  <si>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</si>
  <si>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</si>
  <si>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</si>
  <si>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</si>
  <si>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</si>
  <si>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</si>
  <si>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</si>
  <si>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</si>
  <si>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</si>
  <si>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</si>
  <si>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</si>
  <si>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</si>
  <si>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</si>
  <si>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</si>
  <si>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</si>
  <si>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</si>
  <si>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</si>
  <si>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</si>
  <si>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</si>
  <si>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</si>
  <si>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</si>
  <si>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</si>
  <si>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</si>
  <si>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</si>
  <si>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</si>
  <si>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</si>
  <si>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</si>
  <si>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</si>
  <si>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</si>
  <si>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</si>
  <si>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</si>
  <si>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</si>
  <si>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</si>
  <si>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</si>
  <si>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</si>
  <si>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</si>
  <si>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</si>
  <si>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</si>
  <si>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</si>
  <si>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</si>
  <si>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</si>
  <si>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</si>
  <si>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</si>
  <si>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</si>
  <si>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</si>
  <si>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</si>
  <si>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</si>
  <si>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</si>
  <si>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</si>
  <si>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</si>
  <si>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</si>
  <si>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</si>
  <si>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</si>
  <si>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</si>
  <si>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</si>
  <si>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</si>
  <si>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</si>
  <si>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</si>
  <si>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</si>
  <si>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</si>
  <si>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</si>
  <si>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</si>
  <si>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</si>
  <si>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</si>
  <si>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</si>
  <si>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</si>
  <si>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</si>
  <si>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</si>
  <si>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</si>
  <si>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</si>
  <si>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</si>
  <si>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</si>
  <si>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</si>
  <si>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</si>
  <si>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</si>
  <si>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</si>
  <si>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</si>
  <si>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</si>
  <si>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</si>
  <si>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</si>
  <si>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</si>
  <si>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</si>
  <si>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</si>
  <si>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</si>
  <si>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</si>
  <si>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</si>
  <si>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</si>
  <si>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</si>
  <si>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</si>
  <si>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</si>
  <si>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</si>
  <si>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</si>
  <si>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</si>
  <si>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</si>
  <si>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</si>
  <si>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</si>
  <si>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</si>
  <si>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</si>
  <si>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</si>
  <si>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</si>
  <si>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</si>
  <si>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</si>
  <si>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</si>
  <si>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</si>
  <si>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</si>
  <si>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</si>
  <si>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</si>
  <si>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</si>
  <si>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</si>
  <si>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</si>
  <si>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</si>
  <si>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</si>
  <si>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</si>
  <si>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</si>
  <si>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</si>
  <si>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</si>
  <si>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</si>
  <si>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</si>
  <si>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</si>
  <si>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</si>
  <si>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</si>
  <si>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</si>
  <si>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</si>
  <si>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</si>
  <si>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</si>
  <si>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</si>
  <si>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</si>
  <si>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</si>
  <si>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</si>
  <si>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</si>
  <si>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</si>
  <si>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</si>
  <si>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</si>
  <si>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</si>
  <si>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</si>
  <si>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</si>
  <si>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</si>
  <si>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</si>
  <si>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</si>
  <si>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</si>
  <si>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</si>
  <si>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</si>
  <si>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</si>
  <si>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</si>
  <si>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</si>
  <si>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</si>
  <si>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</si>
  <si>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</si>
  <si>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</si>
  <si>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</si>
  <si>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</si>
  <si>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</si>
  <si>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</si>
  <si>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</si>
  <si>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</si>
  <si>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</si>
  <si>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</si>
  <si>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</si>
  <si>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</si>
  <si>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</si>
  <si>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</si>
  <si>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</si>
  <si>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</si>
  <si>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</si>
  <si>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</si>
  <si>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</si>
  <si>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</si>
  <si>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</si>
  <si>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</si>
  <si>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</si>
  <si>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</si>
  <si>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</si>
  <si>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</si>
  <si>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</si>
  <si>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</si>
  <si>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</si>
  <si>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</si>
  <si>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</si>
  <si>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</si>
  <si>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</si>
  <si>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</si>
  <si>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</si>
  <si>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</si>
  <si>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</si>
  <si>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</si>
  <si>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</si>
  <si>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</si>
  <si>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</si>
  <si>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</si>
  <si>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</si>
  <si>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</si>
  <si>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</si>
  <si>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</si>
  <si>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</si>
  <si>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</si>
  <si>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</si>
  <si>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</si>
  <si>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</si>
  <si>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</si>
  <si>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</si>
  <si>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</si>
  <si>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</si>
  <si>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</si>
  <si>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</si>
  <si>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</si>
  <si>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</si>
  <si>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</si>
  <si>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</si>
  <si>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</si>
  <si>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</si>
  <si>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</si>
  <si>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</si>
  <si>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</si>
  <si>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</si>
  <si>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</si>
  <si>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</si>
  <si>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</si>
  <si>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</si>
  <si>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</si>
  <si>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</si>
  <si>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</si>
  <si>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</si>
  <si>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</si>
  <si>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</si>
  <si>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</si>
  <si>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</si>
  <si>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</si>
  <si>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</si>
  <si>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</si>
  <si>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</si>
  <si>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</si>
  <si>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</si>
  <si>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</si>
  <si>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</si>
  <si>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</si>
  <si>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</si>
  <si>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</si>
  <si>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</si>
  <si>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</si>
  <si>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</si>
  <si>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</si>
  <si>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</si>
  <si>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</si>
  <si>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</si>
  <si>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</si>
  <si>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</si>
  <si>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</si>
  <si>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</si>
  <si>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</si>
  <si>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</si>
  <si>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</si>
  <si>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</si>
  <si>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</si>
  <si>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</si>
  <si>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</si>
  <si>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</si>
  <si>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</si>
  <si>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</si>
  <si>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</si>
  <si>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</si>
  <si>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</si>
  <si>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</si>
  <si>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</si>
  <si>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</si>
  <si>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</si>
  <si>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</si>
  <si>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</si>
  <si>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</si>
  <si>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</si>
  <si>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</si>
  <si>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</si>
  <si>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</si>
  <si>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</si>
  <si>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</si>
  <si>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</si>
  <si>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</si>
  <si>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</si>
  <si>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</si>
  <si>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</si>
  <si>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</si>
  <si>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</si>
  <si>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</si>
  <si>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</si>
  <si>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</si>
  <si>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</si>
  <si>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</si>
  <si>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</si>
  <si>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</si>
  <si>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</si>
  <si>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</si>
  <si>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</si>
  <si>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</si>
  <si>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</si>
  <si>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</si>
  <si>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</si>
  <si>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</si>
  <si>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</si>
  <si>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</si>
  <si>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</si>
  <si>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</si>
  <si>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</si>
  <si>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</si>
  <si>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</si>
  <si>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</si>
  <si>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</si>
  <si>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</si>
  <si>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</si>
  <si>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</si>
  <si>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</si>
  <si>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</si>
  <si>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</si>
  <si>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</si>
  <si>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</si>
  <si>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</si>
  <si>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</si>
  <si>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</si>
  <si>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</si>
  <si>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</si>
  <si>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</si>
  <si>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</si>
  <si>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</si>
  <si>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</si>
  <si>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</si>
  <si>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</si>
  <si>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</si>
  <si>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</si>
  <si>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</si>
  <si>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</si>
  <si>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</si>
  <si>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</si>
  <si>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</si>
  <si>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</si>
  <si>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</si>
  <si>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</si>
  <si>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</si>
  <si>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</si>
  <si>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</si>
  <si>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</si>
  <si>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</si>
  <si>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</si>
  <si>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</si>
  <si>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</si>
  <si>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</si>
  <si>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</si>
  <si>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</si>
  <si>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</si>
  <si>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</si>
  <si>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</si>
  <si>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</si>
  <si>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</si>
  <si>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</si>
  <si>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</si>
  <si>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</si>
  <si>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</si>
  <si>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</si>
  <si>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</si>
  <si>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</si>
  <si>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</si>
  <si>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</si>
  <si>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</si>
  <si>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</si>
  <si>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</si>
  <si>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</si>
  <si>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</si>
  <si>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</si>
  <si>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</si>
  <si>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</si>
  <si>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</si>
  <si>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</si>
  <si>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</si>
  <si>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</si>
  <si>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</si>
  <si>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</si>
  <si>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</si>
  <si>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</si>
  <si>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</si>
  <si>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</si>
  <si>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</si>
  <si>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</si>
  <si>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</si>
  <si>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</si>
  <si>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</si>
  <si>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</si>
  <si>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</si>
  <si>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</si>
  <si>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</si>
  <si>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</si>
  <si>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</si>
  <si>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</si>
  <si>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</si>
  <si>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</si>
  <si>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</si>
  <si>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</si>
  <si>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</si>
  <si>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</si>
  <si>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</si>
  <si>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</si>
  <si>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</si>
  <si>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</si>
  <si>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</si>
  <si>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</si>
  <si>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</si>
  <si>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</si>
  <si>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</si>
  <si>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</si>
  <si>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</si>
  <si>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</si>
  <si>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</si>
  <si>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</si>
  <si>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</si>
  <si>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</si>
  <si>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</si>
  <si>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</si>
  <si>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</si>
  <si>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</si>
  <si>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</si>
  <si>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</si>
  <si>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</si>
  <si>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</si>
  <si>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</si>
  <si>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</si>
  <si>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</si>
  <si>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</si>
  <si>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</si>
  <si>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</si>
  <si>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</si>
  <si>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</si>
  <si>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</si>
  <si>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</si>
  <si>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</si>
  <si>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</si>
  <si>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</si>
  <si>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</si>
  <si>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</si>
  <si>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</si>
  <si>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</si>
  <si>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</si>
  <si>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</si>
  <si>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</si>
  <si>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</si>
  <si>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</si>
  <si>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</si>
  <si>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</si>
  <si>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</si>
  <si>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</si>
  <si>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</si>
  <si>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</si>
  <si>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</si>
  <si>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</si>
  <si>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</si>
  <si>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</si>
  <si>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</si>
  <si>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</si>
  <si>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</si>
  <si>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</si>
  <si>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</si>
  <si>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</si>
  <si>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</si>
  <si>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</si>
  <si>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</si>
  <si>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</si>
  <si>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</si>
  <si>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</si>
  <si>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</si>
  <si>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</si>
  <si>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</si>
  <si>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</si>
  <si>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</si>
  <si>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</si>
  <si>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</si>
  <si>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</si>
  <si>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</si>
  <si>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</si>
  <si>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</si>
  <si>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</si>
  <si>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</si>
  <si>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</si>
  <si>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</si>
  <si>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</si>
  <si>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</si>
  <si>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</si>
  <si>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</si>
  <si>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</si>
  <si>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</si>
  <si>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</si>
  <si>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</si>
  <si>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</si>
  <si>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</si>
  <si>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</si>
  <si>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</si>
  <si>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</si>
  <si>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</si>
  <si>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</si>
  <si>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</si>
  <si>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</si>
  <si>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</si>
  <si>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</si>
  <si>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</si>
  <si>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</si>
  <si>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</si>
  <si>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</si>
  <si>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</si>
  <si>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</si>
  <si>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</si>
  <si>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</si>
  <si>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</si>
  <si>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</si>
  <si>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</si>
  <si>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</si>
  <si>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</si>
  <si>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</si>
  <si>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</si>
  <si>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</si>
  <si>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</si>
  <si>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</si>
  <si>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</si>
  <si>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</si>
  <si>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</si>
  <si>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</si>
  <si>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</si>
  <si>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</si>
  <si>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</si>
  <si>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</si>
  <si>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</si>
  <si>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</si>
  <si>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</si>
  <si>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</si>
  <si>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</si>
  <si>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</si>
  <si>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</si>
  <si>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</si>
  <si>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</si>
  <si>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</si>
  <si>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</si>
  <si>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</si>
  <si>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</si>
  <si>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</si>
  <si>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</si>
  <si>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</si>
  <si>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</si>
  <si>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</si>
  <si>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</si>
  <si>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</si>
  <si>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</si>
  <si>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</si>
  <si>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</si>
  <si>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</si>
  <si>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</si>
  <si>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</si>
  <si>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</si>
  <si>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</si>
  <si>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</si>
  <si>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</si>
  <si>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</si>
  <si>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</si>
  <si>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</si>
  <si>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</si>
  <si>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</si>
  <si>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</si>
  <si>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</si>
  <si>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</si>
  <si>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</si>
  <si>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</si>
  <si>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</si>
  <si>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</si>
  <si>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</si>
  <si>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</si>
  <si>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</si>
  <si>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</si>
  <si>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</si>
  <si>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</si>
  <si>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</si>
  <si>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</si>
  <si>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</si>
  <si>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</si>
  <si>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</si>
  <si>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</si>
  <si>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</si>
  <si>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</si>
  <si>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</si>
  <si>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</si>
  <si>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</si>
  <si>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</si>
  <si>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</si>
  <si>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</si>
  <si>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</si>
  <si>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</si>
  <si>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</si>
  <si>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</si>
  <si>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</si>
  <si>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</si>
  <si>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</si>
  <si>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</si>
  <si>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</si>
  <si>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</si>
  <si>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</si>
  <si>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</si>
  <si>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</si>
  <si>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</si>
  <si>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</si>
  <si>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</si>
  <si>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</si>
  <si>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</si>
  <si>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</si>
  <si>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</si>
  <si>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</si>
  <si>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</si>
  <si>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</si>
  <si>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</si>
  <si>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</si>
  <si>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</si>
  <si>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</si>
  <si>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</si>
  <si>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</si>
  <si>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</si>
  <si>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</si>
  <si>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</si>
  <si>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</si>
  <si>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</si>
  <si>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</si>
  <si>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</si>
  <si>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</si>
  <si>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</si>
  <si>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</si>
  <si>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</si>
  <si>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</si>
  <si>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</si>
  <si>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</si>
  <si>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</si>
  <si>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</si>
  <si>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</si>
  <si>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</si>
  <si>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</si>
  <si>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</si>
  <si>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</si>
  <si>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</si>
  <si>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</si>
  <si>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</si>
  <si>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</si>
  <si>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</si>
  <si>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</si>
  <si>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</si>
  <si>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</si>
  <si>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</si>
  <si>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</si>
  <si>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</si>
  <si>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</si>
  <si>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</si>
  <si>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</si>
  <si>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</si>
  <si>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</si>
  <si>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</si>
  <si>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</si>
  <si>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</si>
  <si>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</si>
  <si>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</si>
  <si>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</si>
  <si>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</si>
  <si>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</si>
  <si>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</si>
  <si>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</si>
  <si>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</si>
  <si>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</si>
  <si>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</si>
  <si>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</si>
  <si>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</si>
  <si>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</si>
  <si>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</si>
  <si>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</si>
  <si>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</si>
  <si>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</si>
  <si>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</si>
  <si>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</si>
  <si>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</si>
  <si>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</si>
  <si>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</si>
  <si>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</si>
  <si>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</si>
  <si>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</si>
  <si>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</si>
  <si>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</si>
  <si>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</si>
  <si>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</si>
  <si>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</si>
  <si>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</si>
  <si>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</si>
  <si>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</si>
  <si>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</si>
  <si>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</si>
  <si>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</si>
  <si>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</si>
  <si>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</si>
  <si>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</si>
  <si>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</si>
  <si>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</si>
  <si>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</si>
  <si>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</si>
  <si>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</si>
  <si>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</si>
  <si>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</si>
  <si>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</si>
  <si>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</si>
  <si>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</si>
  <si>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</si>
  <si>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</si>
  <si>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</si>
  <si>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</si>
  <si>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</si>
  <si>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</si>
  <si>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</si>
  <si>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</si>
  <si>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</si>
  <si>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</si>
  <si>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</si>
  <si>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</si>
  <si>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</si>
  <si>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</si>
  <si>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</si>
  <si>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</si>
  <si>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</si>
  <si>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</si>
  <si>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</si>
  <si>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</si>
  <si>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</si>
  <si>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</si>
  <si>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</si>
  <si>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</si>
  <si>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</si>
  <si>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</si>
  <si>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</si>
  <si>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</si>
  <si>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</si>
  <si>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</si>
  <si>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</si>
  <si>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</si>
  <si>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</si>
  <si>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</si>
  <si>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</si>
  <si>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</si>
  <si>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</si>
  <si>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</si>
  <si>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</si>
  <si>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</si>
  <si>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</si>
  <si>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</si>
  <si>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</si>
  <si>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</si>
  <si>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</si>
  <si>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</si>
  <si>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</si>
  <si>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</si>
  <si>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</si>
  <si>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</si>
  <si>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</si>
  <si>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</si>
  <si>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</si>
  <si>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</si>
  <si>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</si>
  <si>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</si>
  <si>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</si>
  <si>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</si>
  <si>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</si>
  <si>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</si>
  <si>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</si>
  <si>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</si>
  <si>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</si>
  <si>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</si>
  <si>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</si>
  <si>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</si>
  <si>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</si>
  <si>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</si>
  <si>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</si>
  <si>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</si>
  <si>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</si>
  <si>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</si>
  <si>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</si>
  <si>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</si>
  <si>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</si>
  <si>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</si>
  <si>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</si>
  <si>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</si>
  <si>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</si>
  <si>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</si>
  <si>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</si>
  <si>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</si>
  <si>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</si>
  <si>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</si>
  <si>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</si>
  <si>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</si>
  <si>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</si>
  <si>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</si>
  <si>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</si>
  <si>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</si>
  <si>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</si>
  <si>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</si>
  <si>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</si>
  <si>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</si>
  <si>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</si>
  <si>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</si>
  <si>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</si>
  <si>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</si>
  <si>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</si>
  <si>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</si>
  <si>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</si>
  <si>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</si>
  <si>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</si>
  <si>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</si>
  <si>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</si>
  <si>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</si>
  <si>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</si>
  <si>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</si>
  <si>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</si>
  <si>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</si>
  <si>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</si>
  <si>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</si>
  <si>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</si>
  <si>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</si>
  <si>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</si>
  <si>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</si>
  <si>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</si>
  <si>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</si>
  <si>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</si>
  <si>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</si>
  <si>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</si>
  <si>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</si>
  <si>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</si>
  <si>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</si>
  <si>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</si>
  <si>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</si>
  <si>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</si>
  <si>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</si>
  <si>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</si>
  <si>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</si>
  <si>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</si>
  <si>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</si>
  <si>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</si>
  <si>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</si>
  <si>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</si>
  <si>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</si>
  <si>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</si>
  <si>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</si>
  <si>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</si>
  <si>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</si>
  <si>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</si>
  <si>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</si>
  <si>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</si>
  <si>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</si>
  <si>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</si>
  <si>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</si>
  <si>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</si>
  <si>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</si>
  <si>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</si>
  <si>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</si>
  <si>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</si>
  <si>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</si>
  <si>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</si>
  <si>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</si>
  <si>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</si>
  <si>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</si>
  <si>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</si>
  <si>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</si>
  <si>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</si>
  <si>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</si>
  <si>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</si>
  <si>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</si>
  <si>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</si>
  <si>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</si>
  <si>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</si>
  <si>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</si>
  <si>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</si>
  <si>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</si>
  <si>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</si>
  <si>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</si>
  <si>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</si>
  <si>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</si>
  <si>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</si>
  <si>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</si>
  <si>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</si>
  <si>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</si>
  <si>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</si>
  <si>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</si>
  <si>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</si>
  <si>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</si>
  <si>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</si>
  <si>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</si>
  <si>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</si>
  <si>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</si>
  <si>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</si>
  <si>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</si>
  <si>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</si>
  <si>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</si>
  <si>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</si>
  <si>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</si>
  <si>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</si>
  <si>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</si>
  <si>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</si>
  <si>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</si>
  <si>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</si>
  <si>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</si>
  <si>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</si>
  <si>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</si>
  <si>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</si>
  <si>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</si>
  <si>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</si>
  <si>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</si>
  <si>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</si>
  <si>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</si>
  <si>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</si>
  <si>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</si>
  <si>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</si>
  <si>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</si>
  <si>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</si>
  <si>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</si>
  <si>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</si>
  <si>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</si>
  <si>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</si>
  <si>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</si>
  <si>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</si>
  <si>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</si>
  <si>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</si>
  <si>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</si>
  <si>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</si>
  <si>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</si>
  <si>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</si>
  <si>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</si>
  <si>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</si>
  <si>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</si>
  <si>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</si>
  <si>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</si>
  <si>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</si>
  <si>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</si>
  <si>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</si>
  <si>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</si>
  <si>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</si>
  <si>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</si>
  <si>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</si>
  <si>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</si>
  <si>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</si>
  <si>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</si>
  <si>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</si>
  <si>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</si>
  <si>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</si>
  <si>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</si>
  <si>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</si>
  <si>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</si>
  <si>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</si>
  <si>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</si>
  <si>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</si>
  <si>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</si>
  <si>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</si>
  <si>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</si>
  <si>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</si>
  <si>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</si>
  <si>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</si>
  <si>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</si>
  <si>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</si>
  <si>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</si>
  <si>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</si>
  <si>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</si>
  <si>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</si>
  <si>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</si>
  <si>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</si>
  <si>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</si>
  <si>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</si>
  <si>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</si>
  <si>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</si>
  <si>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</si>
  <si>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</si>
  <si>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</si>
  <si>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</si>
  <si>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</si>
  <si>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</si>
  <si>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</si>
  <si>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</si>
  <si>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</si>
  <si>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</si>
  <si>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</si>
  <si>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</si>
  <si>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</si>
  <si>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</si>
  <si>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</si>
  <si>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</si>
  <si>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</si>
  <si>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</si>
  <si>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</si>
  <si>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</si>
  <si>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</si>
  <si>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</si>
  <si>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</si>
  <si>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</si>
  <si>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</si>
  <si>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</si>
  <si>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</si>
  <si>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</si>
  <si>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</si>
  <si>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</si>
  <si>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</si>
  <si>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</si>
  <si>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</si>
  <si>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</si>
  <si>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</si>
  <si>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</si>
  <si>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</si>
  <si>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</si>
  <si>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</si>
  <si>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</si>
  <si>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</si>
  <si>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</si>
  <si>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</si>
  <si>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</si>
  <si>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</si>
  <si>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</si>
  <si>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</si>
  <si>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</si>
  <si>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</si>
  <si>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</si>
  <si>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</si>
  <si>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</si>
  <si>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</si>
  <si>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</si>
  <si>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</si>
  <si>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</si>
  <si>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</si>
  <si>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</si>
  <si>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</si>
  <si>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</si>
  <si>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</si>
  <si>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</si>
  <si>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</si>
  <si>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</si>
  <si>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</si>
  <si>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</si>
  <si>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</si>
  <si>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</si>
  <si>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</si>
  <si>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</si>
  <si>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</si>
  <si>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</si>
  <si>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</si>
  <si>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</si>
  <si>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</si>
  <si>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</si>
  <si>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</si>
  <si>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</si>
  <si>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</si>
  <si>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</si>
  <si>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</si>
  <si>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</si>
  <si>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</si>
  <si>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</si>
  <si>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</si>
  <si>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</si>
  <si>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</si>
  <si>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</si>
  <si>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</si>
  <si>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</si>
  <si>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</si>
  <si>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</si>
  <si>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</si>
  <si>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</si>
  <si>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</si>
  <si>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</si>
  <si>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</si>
  <si>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</si>
  <si>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</si>
  <si>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</si>
  <si>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</si>
  <si>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</si>
  <si>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</si>
  <si>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</si>
  <si>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</si>
  <si>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</si>
  <si>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</si>
  <si>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</si>
  <si>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</si>
  <si>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</si>
  <si>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</si>
  <si>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</si>
  <si>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</si>
  <si>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</si>
  <si>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</si>
  <si>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</si>
  <si>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</si>
  <si>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</si>
  <si>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</si>
  <si>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</si>
  <si>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</si>
  <si>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</si>
  <si>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</si>
  <si>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</si>
  <si>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</si>
  <si>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</si>
  <si>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</si>
  <si>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</si>
  <si>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</si>
  <si>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</si>
  <si>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</si>
  <si>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</si>
  <si>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</si>
  <si>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</si>
  <si>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</si>
  <si>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</si>
  <si>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</si>
  <si>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</si>
  <si>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</si>
  <si>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</si>
  <si>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</si>
  <si>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</si>
  <si>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</si>
  <si>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</si>
  <si>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</si>
  <si>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</si>
  <si>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</si>
  <si>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</si>
  <si>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</si>
  <si>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</si>
  <si>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</si>
  <si>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</si>
  <si>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</si>
  <si>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</si>
  <si>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</si>
  <si>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</si>
  <si>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</si>
  <si>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</si>
  <si>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</si>
  <si>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</si>
  <si>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</si>
  <si>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</si>
  <si>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</si>
  <si>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</si>
  <si>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</si>
  <si>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</si>
  <si>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</si>
  <si>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</si>
  <si>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</si>
  <si>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</si>
  <si>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</si>
  <si>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</si>
  <si>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</si>
  <si>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</si>
  <si>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</si>
  <si>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</si>
  <si>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</si>
  <si>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</si>
  <si>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</si>
  <si>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</si>
  <si>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</si>
  <si>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</si>
  <si>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</si>
  <si>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</si>
  <si>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</si>
  <si>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</si>
  <si>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</si>
  <si>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</si>
  <si>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</si>
  <si>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</si>
  <si>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</si>
  <si>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</si>
  <si>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</si>
  <si>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</si>
  <si>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</si>
  <si>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</si>
  <si>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</si>
  <si>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</si>
  <si>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</si>
  <si>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</si>
  <si>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</si>
  <si>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</si>
  <si>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</si>
  <si>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</si>
  <si>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</si>
  <si>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</si>
  <si>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</si>
  <si>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</si>
  <si>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</si>
  <si>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</si>
  <si>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</si>
  <si>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</si>
  <si>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</si>
  <si>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</si>
  <si>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</si>
  <si>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</si>
  <si>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</si>
  <si>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</si>
  <si>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</si>
  <si>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</si>
  <si>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</si>
  <si>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</si>
  <si>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</si>
  <si>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</si>
  <si>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</si>
  <si>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</si>
  <si>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</si>
  <si>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</si>
  <si>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</si>
  <si>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</si>
  <si>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</si>
  <si>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</si>
  <si>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</si>
  <si>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</si>
  <si>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</si>
  <si>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</si>
  <si>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</si>
  <si>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</si>
  <si>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</si>
  <si>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</si>
  <si>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</si>
  <si>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</si>
  <si>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</si>
  <si>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</si>
  <si>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</si>
  <si>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</si>
  <si>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</si>
  <si>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</si>
  <si>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</si>
  <si>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</si>
  <si>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</si>
  <si>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</si>
  <si>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</si>
  <si>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</si>
  <si>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</si>
  <si>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</si>
  <si>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</si>
  <si>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</si>
  <si>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</si>
  <si>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</si>
  <si>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</si>
  <si>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</si>
  <si>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</si>
  <si>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</si>
  <si>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</si>
  <si>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</si>
  <si>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</si>
  <si>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</si>
  <si>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</si>
  <si>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</si>
  <si>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</si>
  <si>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</si>
  <si>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</si>
  <si>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</si>
  <si>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</si>
  <si>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</si>
  <si>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</si>
  <si>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</si>
  <si>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</si>
  <si>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</si>
  <si>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</si>
  <si>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</si>
  <si>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</si>
  <si>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</si>
  <si>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</si>
  <si>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</si>
  <si>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</si>
  <si>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</si>
  <si>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</si>
  <si>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</si>
  <si>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</si>
  <si>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</si>
  <si>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</si>
  <si>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</si>
  <si>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</si>
  <si>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</si>
  <si>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</si>
  <si>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</si>
  <si>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</si>
  <si>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</si>
  <si>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</si>
  <si>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</si>
  <si>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</si>
  <si>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</si>
  <si>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</si>
  <si>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</si>
  <si>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</si>
  <si>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</si>
  <si>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</si>
  <si>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</si>
  <si>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</si>
  <si>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</si>
  <si>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</si>
  <si>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</si>
  <si>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</si>
  <si>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</si>
  <si>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</si>
  <si>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</si>
  <si>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</si>
  <si>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</si>
  <si>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</si>
  <si>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</si>
  <si>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</si>
  <si>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</si>
  <si>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</si>
  <si>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</si>
  <si>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</si>
  <si>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</si>
  <si>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</si>
  <si>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</si>
  <si>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</si>
  <si>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</si>
  <si>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</si>
  <si>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</si>
  <si>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</si>
  <si>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</si>
  <si>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</si>
  <si>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</si>
  <si>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</si>
  <si>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</si>
  <si>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</si>
  <si>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</si>
  <si>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</si>
  <si>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</si>
  <si>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</si>
  <si>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</si>
  <si>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</si>
  <si>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</si>
  <si>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</si>
  <si>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</si>
  <si>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</si>
  <si>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</si>
  <si>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</si>
  <si>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</si>
  <si>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</si>
  <si>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</si>
  <si>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</si>
  <si>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</si>
  <si>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</si>
  <si>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</si>
  <si>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</si>
  <si>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</si>
  <si>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</si>
  <si>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</si>
  <si>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</si>
  <si>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</si>
  <si>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</si>
  <si>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</si>
  <si>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</si>
  <si>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</si>
  <si>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</si>
  <si>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</si>
  <si>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</si>
  <si>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</si>
  <si>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</si>
  <si>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</si>
  <si>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</si>
  <si>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</si>
  <si>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</si>
  <si>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</si>
  <si>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</si>
  <si>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</si>
  <si>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</si>
  <si>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</si>
  <si>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</si>
  <si>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</si>
  <si>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</si>
  <si>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</si>
  <si>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</si>
  <si>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</si>
  <si>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</si>
  <si>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</si>
  <si>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</si>
  <si>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</si>
  <si>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</si>
  <si>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</si>
  <si>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</si>
  <si>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</si>
  <si>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</si>
  <si>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</si>
  <si>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</si>
  <si>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</si>
  <si>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</si>
  <si>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</si>
  <si>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</si>
  <si>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</si>
  <si>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</si>
  <si>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</si>
  <si>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</si>
  <si>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</si>
  <si>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</si>
  <si>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</si>
  <si>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</si>
  <si>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</si>
  <si>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</si>
  <si>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</si>
  <si>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</si>
  <si>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</si>
  <si>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</si>
  <si>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</si>
  <si>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</si>
  <si>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</si>
  <si>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</si>
  <si>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</si>
  <si>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</si>
  <si>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</si>
  <si>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</si>
  <si>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</si>
  <si>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</si>
  <si>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</si>
  <si>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</si>
  <si>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</si>
  <si>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</si>
  <si>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</si>
  <si>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</si>
  <si>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</si>
  <si>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</si>
  <si>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</si>
  <si>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</si>
  <si>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</si>
  <si>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</si>
  <si>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</si>
  <si>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</si>
  <si>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</si>
  <si>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</si>
  <si>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</si>
  <si>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</si>
  <si>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</si>
  <si>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</si>
  <si>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</si>
  <si>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</si>
  <si>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</si>
  <si>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</si>
  <si>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</si>
  <si>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</si>
  <si>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</si>
  <si>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</si>
  <si>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</si>
  <si>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</si>
  <si>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</si>
  <si>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</si>
  <si>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</si>
  <si>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</si>
  <si>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</si>
  <si>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</si>
  <si>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</si>
  <si>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</si>
  <si>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</si>
  <si>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</si>
  <si>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</si>
  <si>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</si>
  <si>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</si>
  <si>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</si>
  <si>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</si>
  <si>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</si>
  <si>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</si>
  <si>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</si>
  <si>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</si>
  <si>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</si>
  <si>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</si>
  <si>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</si>
  <si>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</si>
  <si>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</si>
  <si>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</si>
  <si>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</si>
  <si>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</si>
  <si>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</si>
  <si>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</si>
  <si>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</si>
  <si>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</si>
  <si>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</si>
  <si>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</si>
  <si>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</si>
  <si>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</si>
  <si>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</si>
  <si>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</si>
  <si>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</si>
  <si>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</si>
  <si>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</si>
  <si>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</si>
  <si>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</si>
  <si>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</si>
  <si>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</si>
  <si>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</si>
  <si>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</si>
  <si>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</si>
  <si>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</si>
  <si>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</si>
  <si>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</si>
  <si>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</si>
  <si>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</si>
  <si>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</si>
  <si>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</si>
  <si>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</si>
  <si>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</si>
  <si>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</si>
  <si>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</si>
  <si>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</si>
  <si>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</si>
  <si>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</si>
  <si>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</si>
  <si>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</si>
  <si>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</si>
  <si>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</si>
  <si>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</si>
  <si>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</si>
  <si>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</si>
  <si>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</si>
  <si>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</si>
  <si>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</si>
  <si>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</si>
  <si>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</si>
  <si>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</si>
  <si>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</si>
  <si>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</si>
  <si>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</si>
  <si>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</si>
  <si>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</si>
  <si>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</si>
  <si>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</si>
  <si>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</si>
  <si>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</si>
  <si>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</si>
  <si>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</si>
  <si>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</si>
  <si>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</si>
  <si>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</si>
  <si>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</si>
  <si>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</si>
  <si>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</si>
  <si>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</si>
  <si>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</si>
  <si>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</si>
  <si>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</si>
  <si>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</si>
  <si>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</si>
  <si>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</si>
  <si>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</si>
  <si>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</si>
  <si>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</si>
  <si>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</si>
  <si>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</si>
  <si>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</si>
  <si>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</si>
  <si>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</si>
  <si>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</si>
  <si>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</si>
  <si>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</si>
  <si>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</si>
  <si>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</si>
  <si>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</si>
  <si>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</si>
  <si>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</si>
  <si>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</si>
  <si>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</si>
  <si>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</si>
  <si>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</si>
  <si>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</si>
  <si>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</si>
  <si>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</si>
  <si>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</si>
  <si>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</si>
  <si>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</si>
  <si>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</si>
  <si>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</si>
  <si>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</si>
  <si>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</si>
  <si>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</si>
  <si>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</si>
  <si>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</si>
  <si>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</si>
  <si>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</si>
  <si>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</si>
  <si>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</si>
  <si>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</si>
  <si>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</si>
  <si>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</si>
  <si>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</si>
  <si>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</si>
  <si>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</si>
  <si>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</si>
  <si>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</si>
  <si>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</si>
  <si>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</si>
  <si>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</si>
  <si>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</si>
  <si>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</si>
  <si>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</si>
  <si>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</si>
  <si>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</si>
  <si>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</si>
  <si>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</si>
  <si>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</si>
  <si>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</si>
  <si>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</si>
  <si>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</si>
  <si>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</si>
  <si>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</si>
  <si>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</si>
  <si>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</si>
  <si>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</si>
  <si>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</si>
  <si>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</si>
  <si>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</si>
  <si>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</si>
  <si>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</si>
  <si>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</si>
  <si>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</si>
  <si>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</si>
  <si>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</si>
  <si>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</si>
  <si>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</si>
  <si>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</si>
  <si>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</si>
  <si>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</si>
  <si>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</si>
  <si>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</si>
  <si>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</si>
  <si>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</si>
  <si>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</si>
  <si>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</si>
  <si>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</si>
  <si>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</si>
  <si>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</si>
  <si>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</si>
  <si>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</si>
  <si>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</si>
  <si>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</si>
  <si>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</si>
  <si>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</si>
  <si>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</si>
  <si>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</si>
  <si>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</si>
  <si>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</si>
  <si>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</si>
  <si>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</si>
  <si>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</si>
  <si>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</si>
  <si>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</si>
  <si>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</si>
  <si>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</si>
  <si>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</si>
  <si>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</si>
  <si>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</si>
  <si>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</si>
  <si>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</si>
  <si>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</si>
  <si>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</si>
  <si>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</si>
  <si>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</si>
  <si>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</si>
  <si>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</si>
  <si>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</si>
  <si>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</si>
  <si>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</si>
  <si>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</si>
  <si>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</si>
  <si>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</si>
  <si>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</si>
  <si>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</si>
  <si>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</si>
  <si>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</si>
  <si>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</si>
  <si>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</si>
  <si>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</si>
  <si>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</si>
  <si>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</si>
  <si>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</si>
  <si>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</si>
  <si>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</si>
  <si>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</si>
  <si>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</si>
  <si>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</si>
  <si>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</si>
  <si>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</si>
  <si>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</si>
  <si>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</si>
  <si>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</si>
  <si>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</si>
  <si>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</si>
  <si>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</si>
  <si>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</si>
  <si>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</si>
  <si>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</si>
  <si>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</si>
  <si>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</si>
  <si>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</si>
  <si>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</si>
  <si>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</si>
  <si>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</si>
  <si>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</si>
  <si>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</si>
  <si>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</si>
  <si>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</si>
  <si>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</si>
  <si>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</si>
  <si>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</si>
  <si>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</si>
  <si>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</si>
  <si>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</si>
  <si>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</si>
  <si>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</si>
  <si>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</si>
  <si>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</si>
  <si>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</si>
  <si>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</si>
  <si>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</si>
  <si>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</si>
  <si>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</si>
  <si>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</si>
  <si>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</si>
  <si>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</si>
  <si>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</si>
  <si>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</si>
  <si>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</si>
  <si>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</si>
  <si>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</si>
  <si>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</si>
  <si>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</si>
  <si>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</si>
  <si>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</si>
  <si>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</si>
  <si>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</si>
  <si>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</si>
  <si>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</si>
  <si>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</si>
  <si>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</si>
  <si>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</si>
  <si>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</si>
  <si>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</si>
  <si>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</si>
  <si>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</si>
  <si>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</si>
  <si>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</si>
  <si>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</si>
  <si>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</si>
  <si>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</si>
  <si>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</si>
  <si>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</si>
  <si>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</si>
  <si>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</si>
  <si>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</si>
  <si>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</si>
  <si>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</si>
  <si>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</si>
  <si>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</si>
  <si>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</si>
  <si>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</si>
  <si>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</si>
  <si>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</si>
  <si>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</si>
  <si>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</si>
  <si>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</si>
  <si>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</si>
  <si>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</si>
  <si>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</si>
  <si>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</si>
  <si>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</si>
  <si>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</si>
  <si>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</si>
  <si>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</si>
  <si>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</si>
  <si>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</si>
  <si>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</si>
  <si>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</si>
  <si>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</si>
  <si>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</si>
  <si>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</si>
  <si>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</si>
  <si>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</si>
  <si>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</si>
  <si>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</si>
  <si>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</si>
  <si>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</si>
  <si>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</si>
  <si>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</si>
  <si>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</si>
  <si>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</si>
  <si>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</si>
  <si>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</si>
  <si>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</si>
  <si>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</si>
  <si>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</si>
  <si>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</si>
  <si>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</si>
  <si>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</si>
  <si>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</si>
  <si>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</si>
  <si>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</si>
  <si>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</si>
  <si>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</si>
  <si>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</si>
  <si>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</si>
  <si>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</si>
  <si>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</si>
  <si>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</si>
  <si>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</si>
  <si>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</si>
  <si>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</si>
  <si>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</si>
  <si>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</si>
  <si>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</si>
  <si>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</si>
  <si>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</si>
  <si>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</si>
  <si>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</si>
  <si>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</si>
  <si>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</si>
  <si>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</si>
  <si>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</si>
  <si>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</si>
  <si>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</si>
  <si>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</si>
  <si>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</si>
  <si>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</si>
  <si>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</si>
  <si>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</si>
  <si>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</si>
  <si>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</si>
  <si>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</si>
  <si>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</si>
  <si>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</si>
  <si>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</si>
  <si>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</si>
  <si>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</si>
  <si>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</si>
  <si>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</si>
  <si>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</si>
  <si>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</si>
  <si>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</si>
  <si>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</si>
  <si>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</si>
  <si>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</si>
  <si>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</si>
  <si>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</si>
  <si>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</si>
  <si>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</si>
  <si>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</si>
  <si>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</si>
  <si>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</si>
  <si>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</si>
  <si>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</si>
  <si>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</si>
  <si>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</si>
  <si>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</si>
  <si>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</si>
  <si>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</si>
  <si>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</si>
  <si>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</si>
  <si>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</si>
  <si>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</si>
  <si>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</si>
  <si>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</si>
  <si>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</si>
  <si>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</si>
  <si>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</si>
  <si>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</si>
  <si>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</si>
  <si>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</si>
  <si>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</si>
  <si>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</si>
  <si>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</si>
  <si>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</si>
  <si>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</si>
  <si>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</si>
  <si>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</si>
  <si>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</si>
  <si>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</si>
  <si>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</si>
  <si>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</si>
  <si>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</si>
  <si>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</si>
  <si>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</si>
  <si>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</si>
  <si>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</si>
  <si>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</si>
  <si>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</si>
  <si>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</si>
  <si>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</si>
  <si>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</si>
  <si>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</si>
  <si>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</si>
  <si>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</si>
  <si>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</si>
  <si>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</si>
  <si>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</si>
  <si>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</si>
  <si>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</si>
  <si>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</si>
  <si>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</si>
  <si>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</si>
  <si>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</si>
  <si>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</si>
  <si>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</si>
  <si>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</si>
  <si>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</si>
  <si>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</si>
  <si>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</si>
  <si>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</si>
  <si>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</si>
  <si>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</si>
  <si>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</si>
  <si>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</si>
  <si>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</si>
  <si>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</si>
  <si>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</si>
  <si>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</si>
  <si>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</si>
  <si>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</si>
  <si>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</si>
  <si>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</si>
  <si>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</si>
  <si>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</si>
  <si>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</si>
  <si>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</si>
  <si>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</si>
  <si>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</si>
  <si>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</si>
  <si>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</si>
  <si>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</si>
  <si>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</si>
  <si>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</si>
  <si>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</si>
  <si>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</si>
  <si>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</si>
  <si>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</si>
  <si>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</si>
  <si>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</si>
  <si>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</si>
  <si>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</si>
  <si>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</si>
  <si>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</si>
  <si>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</si>
  <si>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</si>
  <si>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</si>
  <si>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</si>
  <si>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</si>
  <si>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</si>
  <si>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</si>
  <si>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</si>
  <si>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</si>
  <si>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</si>
  <si>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</si>
  <si>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</si>
  <si>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</si>
  <si>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</si>
  <si>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</si>
  <si>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</si>
  <si>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</si>
  <si>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</si>
  <si>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</si>
  <si>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</si>
  <si>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</si>
  <si>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</si>
  <si>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</si>
  <si>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</si>
  <si>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</si>
  <si>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</si>
  <si>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</si>
  <si>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</si>
  <si>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</si>
  <si>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</si>
  <si>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</si>
  <si>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</si>
  <si>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</si>
  <si>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</si>
  <si>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</si>
  <si>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</si>
  <si>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</si>
  <si>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</si>
  <si>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</si>
  <si>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</si>
  <si>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</si>
  <si>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</si>
  <si>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</si>
  <si>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</si>
  <si>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</si>
  <si>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</si>
  <si>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</si>
  <si>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</si>
  <si>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</si>
  <si>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</si>
  <si>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</si>
  <si>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</si>
  <si>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</si>
  <si>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</si>
  <si>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</si>
  <si>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</si>
  <si>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</si>
  <si>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</si>
  <si>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</si>
  <si>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</si>
  <si>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</si>
  <si>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</si>
  <si>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</si>
  <si>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</si>
  <si>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</si>
  <si>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</si>
  <si>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</si>
  <si>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</si>
  <si>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</si>
  <si>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</si>
  <si>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</si>
  <si>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</si>
  <si>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</si>
  <si>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</si>
  <si>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</si>
  <si>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</si>
  <si>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</si>
  <si>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</si>
  <si>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</si>
  <si>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</si>
  <si>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</si>
  <si>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</si>
  <si>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</si>
  <si>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</si>
  <si>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</si>
  <si>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</si>
  <si>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</si>
  <si>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</si>
  <si>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</si>
  <si>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</si>
  <si>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</si>
  <si>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</si>
  <si>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</si>
  <si>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</si>
  <si>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</si>
  <si>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</si>
  <si>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</si>
  <si>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</si>
  <si>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</si>
  <si>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</si>
  <si>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</si>
  <si>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</si>
  <si>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</si>
  <si>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</si>
  <si>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</si>
  <si>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</si>
  <si>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</si>
  <si>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</si>
  <si>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</si>
  <si>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</si>
  <si>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</si>
  <si>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</si>
  <si>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</si>
  <si>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</si>
  <si>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</si>
  <si>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</si>
  <si>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</si>
  <si>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</si>
  <si>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</si>
  <si>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</si>
  <si>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</si>
  <si>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</si>
  <si>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</si>
  <si>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</si>
  <si>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</si>
  <si>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</si>
  <si>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</si>
  <si>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</si>
  <si>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</si>
  <si>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</si>
  <si>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</si>
  <si>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</si>
  <si>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</si>
  <si>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</si>
  <si>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</si>
  <si>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</si>
  <si>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</si>
  <si>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</si>
  <si>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</si>
  <si>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</si>
  <si>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</si>
  <si>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</si>
  <si>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</si>
  <si>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</si>
  <si>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</si>
  <si>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</si>
  <si>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</si>
  <si>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</si>
  <si>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</si>
  <si>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</si>
  <si>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</si>
  <si>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</si>
  <si>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</si>
  <si>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</si>
  <si>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</si>
  <si>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</si>
  <si>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</si>
  <si>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</si>
  <si>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</si>
  <si>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</si>
  <si>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</si>
  <si>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</si>
  <si>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</si>
  <si>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</si>
  <si>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</si>
  <si>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</si>
  <si>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</si>
  <si>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</si>
  <si>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</si>
  <si>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</si>
  <si>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</si>
  <si>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</si>
  <si>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</si>
  <si>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</si>
  <si>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</si>
  <si>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</si>
  <si>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</si>
  <si>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</si>
  <si>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</si>
  <si>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</si>
  <si>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</si>
  <si>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</si>
  <si>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</si>
  <si>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</si>
  <si>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</si>
  <si>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</si>
  <si>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</si>
  <si>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</si>
  <si>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</si>
  <si>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</si>
  <si>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</si>
  <si>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</si>
  <si>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</si>
  <si>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</si>
  <si>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</si>
  <si>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</si>
  <si>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</si>
  <si>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</si>
  <si>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</si>
  <si>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</si>
  <si>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</si>
  <si>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</si>
  <si>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</si>
  <si>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</si>
  <si>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</si>
  <si>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</si>
  <si>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</si>
  <si>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</si>
  <si>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</si>
  <si>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</si>
  <si>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</si>
  <si>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</si>
  <si>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</si>
  <si>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</si>
  <si>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</si>
  <si>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</si>
  <si>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</si>
  <si>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</si>
  <si>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</si>
  <si>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</si>
  <si>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</si>
  <si>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</si>
  <si>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</si>
  <si>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</si>
  <si>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</si>
  <si>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</si>
  <si>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</si>
  <si>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</si>
  <si>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</si>
  <si>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</si>
  <si>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</si>
  <si>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</si>
  <si>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</si>
  <si>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</si>
  <si>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</si>
  <si>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</si>
  <si>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</si>
  <si>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</si>
  <si>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</si>
  <si>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</si>
  <si>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</si>
  <si>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</si>
  <si>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</si>
  <si>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</si>
  <si>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</si>
  <si>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</si>
  <si>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</si>
  <si>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</si>
  <si>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</si>
  <si>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</si>
  <si>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</si>
  <si>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</si>
  <si>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</si>
  <si>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</si>
  <si>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</si>
  <si>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</si>
  <si>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</si>
  <si>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</si>
  <si>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</si>
  <si>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</si>
  <si>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</si>
  <si>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</si>
  <si>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</si>
  <si>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</si>
  <si>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</si>
  <si>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</si>
  <si>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</si>
  <si>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</si>
  <si>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</si>
  <si>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</si>
  <si>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</si>
  <si>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</si>
  <si>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</si>
  <si>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</si>
  <si>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</si>
  <si>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</si>
  <si>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</si>
  <si>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</si>
  <si>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</si>
  <si>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</si>
  <si>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</si>
  <si>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</si>
  <si>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</si>
  <si>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</si>
  <si>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</si>
  <si>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</si>
  <si>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</si>
  <si>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</si>
  <si>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</si>
  <si>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</si>
  <si>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</si>
  <si>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</si>
  <si>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</si>
  <si>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</si>
  <si>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</si>
  <si>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</si>
  <si>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</si>
  <si>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</si>
  <si>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</si>
  <si>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</si>
  <si>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</si>
  <si>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</si>
  <si>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</si>
  <si>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</si>
  <si>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</si>
  <si>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</si>
  <si>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</si>
  <si>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</si>
  <si>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</si>
  <si>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</si>
  <si>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</si>
  <si>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</si>
  <si>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</si>
  <si>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</si>
  <si>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</si>
  <si>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</si>
  <si>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</si>
  <si>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</si>
  <si>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</si>
  <si>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</si>
  <si>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</si>
  <si>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</si>
  <si>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</si>
  <si>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</si>
  <si>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</si>
  <si>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</si>
  <si>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</si>
  <si>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</si>
  <si>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</si>
  <si>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</si>
  <si>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</si>
  <si>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</si>
  <si>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</si>
  <si>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</si>
  <si>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</si>
  <si>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</si>
  <si>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</si>
  <si>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</si>
  <si>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</si>
  <si>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</si>
  <si>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</si>
  <si>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</si>
  <si>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</si>
  <si>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</si>
  <si>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</si>
  <si>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</si>
  <si>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</si>
  <si>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</si>
  <si>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</si>
  <si>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</si>
  <si>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</si>
  <si>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</si>
  <si>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</si>
  <si>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</si>
  <si>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</si>
  <si>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</si>
  <si>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</si>
  <si>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</si>
  <si>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</si>
  <si>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</si>
  <si>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</si>
  <si>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</si>
  <si>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</si>
  <si>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</si>
  <si>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</si>
  <si>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</si>
  <si>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</si>
  <si>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</si>
  <si>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</si>
  <si>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</si>
  <si>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</si>
  <si>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</si>
  <si>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</si>
  <si>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</si>
  <si>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</si>
  <si>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</si>
  <si>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</si>
  <si>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</si>
  <si>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</si>
  <si>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</si>
  <si>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</si>
  <si>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</si>
  <si>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</si>
  <si>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</si>
  <si>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</si>
  <si>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</si>
  <si>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</si>
  <si>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</si>
  <si>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</si>
  <si>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</si>
  <si>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</si>
  <si>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</si>
  <si>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</si>
  <si>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</si>
  <si>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</si>
  <si>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</si>
  <si>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</si>
  <si>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</si>
  <si>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</si>
  <si>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</si>
  <si>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</si>
  <si>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</si>
  <si>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</si>
  <si>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</si>
  <si>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</si>
  <si>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</si>
  <si>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</si>
  <si>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</si>
  <si>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</si>
  <si>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</si>
  <si>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</si>
  <si>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</si>
  <si>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</si>
  <si>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</si>
  <si>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</si>
  <si>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</si>
  <si>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</si>
  <si>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</si>
  <si>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</si>
  <si>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</si>
  <si>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</si>
  <si>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</si>
  <si>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</si>
  <si>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</si>
  <si>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</si>
  <si>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</si>
  <si>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</si>
  <si>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</si>
  <si>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</si>
  <si>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</si>
  <si>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</si>
  <si>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</si>
  <si>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</si>
  <si>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</si>
  <si>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</si>
  <si>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</si>
  <si>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</si>
  <si>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</si>
  <si>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</si>
  <si>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</si>
  <si>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</si>
  <si>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</si>
  <si>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</si>
  <si>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</si>
  <si>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</si>
  <si>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</si>
  <si>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</si>
  <si>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</si>
  <si>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</si>
  <si>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</si>
  <si>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</si>
  <si>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</si>
  <si>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</si>
  <si>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</si>
  <si>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</si>
  <si>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</si>
  <si>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</si>
  <si>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</si>
  <si>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</si>
  <si>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</si>
  <si>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</si>
  <si>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</si>
  <si>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</si>
  <si>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</si>
  <si>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</si>
  <si>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</si>
  <si>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</si>
  <si>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</si>
  <si>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</si>
  <si>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</si>
  <si>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</si>
  <si>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</si>
  <si>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</si>
  <si>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</si>
  <si>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</si>
  <si>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</si>
  <si>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</si>
  <si>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</si>
  <si>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</si>
  <si>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</si>
  <si>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</si>
  <si>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</si>
  <si>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</si>
  <si>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</si>
  <si>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</si>
  <si>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</si>
  <si>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</si>
  <si>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</si>
  <si>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</si>
  <si>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</si>
  <si>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</si>
  <si>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</si>
  <si>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</si>
  <si>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</si>
  <si>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</si>
  <si>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</si>
  <si>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</si>
  <si>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</si>
  <si>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</si>
  <si>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</si>
  <si>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</si>
  <si>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</si>
  <si>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</si>
  <si>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</si>
  <si>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</si>
  <si>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</si>
  <si>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</si>
  <si>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</si>
  <si>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</si>
  <si>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</si>
  <si>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</si>
  <si>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</si>
  <si>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</si>
  <si>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</si>
  <si>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</si>
  <si>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</si>
  <si>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</si>
  <si>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</si>
  <si>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</si>
  <si>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</si>
  <si>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</si>
  <si>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</si>
  <si>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</si>
  <si>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</si>
  <si>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</si>
  <si>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</si>
  <si>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</si>
  <si>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</si>
  <si>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</si>
  <si>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</si>
  <si>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</si>
  <si>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</si>
  <si>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</si>
  <si>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</si>
  <si>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</si>
  <si>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</si>
  <si>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</si>
  <si>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</si>
  <si>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</si>
  <si>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</si>
  <si>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</si>
  <si>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</si>
  <si>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</si>
  <si>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</si>
  <si>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</si>
  <si>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</si>
  <si>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</si>
  <si>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</si>
  <si>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</si>
  <si>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</si>
  <si>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</si>
  <si>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</si>
  <si>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</si>
  <si>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</si>
  <si>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</si>
  <si>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</si>
  <si>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</si>
  <si>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</si>
  <si>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</si>
  <si>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</si>
  <si>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</si>
  <si>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</si>
  <si>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</si>
  <si>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</si>
  <si>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</si>
  <si>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</si>
  <si>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</si>
  <si>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</si>
  <si>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</si>
  <si>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</si>
  <si>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</si>
  <si>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</si>
  <si>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</si>
  <si>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</si>
  <si>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</si>
  <si>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</si>
  <si>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</si>
  <si>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</si>
  <si>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</si>
  <si>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</si>
  <si>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</si>
  <si>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</si>
  <si>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</si>
  <si>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</si>
  <si>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</si>
  <si>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</si>
  <si>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</si>
  <si>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</si>
  <si>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</si>
  <si>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</si>
  <si>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</si>
  <si>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</si>
  <si>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</si>
  <si>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</si>
  <si>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</si>
  <si>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</si>
  <si>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</si>
  <si>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</si>
  <si>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</si>
  <si>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</si>
  <si>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</si>
  <si>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</si>
  <si>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</si>
  <si>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</si>
  <si>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</si>
  <si>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</si>
  <si>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</si>
  <si>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</si>
  <si>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</si>
  <si>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</si>
  <si>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</si>
  <si>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</si>
  <si>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</si>
  <si>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</si>
  <si>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</si>
  <si>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</si>
  <si>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</si>
  <si>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</si>
  <si>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</si>
  <si>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</si>
  <si>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</si>
  <si>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</si>
  <si>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</si>
  <si>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</si>
  <si>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</si>
  <si>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</si>
  <si>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</si>
  <si>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</si>
  <si>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</si>
  <si>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</si>
  <si>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</si>
  <si>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</si>
  <si>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</si>
  <si>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</si>
  <si>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</si>
  <si>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</si>
  <si>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</si>
  <si>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</si>
  <si>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</si>
  <si>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</si>
  <si>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</si>
  <si>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</si>
  <si>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</si>
  <si>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</si>
  <si>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</si>
  <si>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</si>
  <si>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</si>
  <si>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</si>
  <si>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</si>
  <si>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</si>
  <si>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</si>
  <si>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</si>
  <si>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</si>
  <si>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</si>
  <si>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</si>
  <si>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</si>
  <si>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</si>
  <si>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</si>
  <si>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</si>
  <si>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</si>
  <si>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</si>
  <si>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</si>
  <si>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</si>
  <si>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</si>
  <si>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</si>
  <si>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</si>
  <si>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</si>
  <si>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</si>
  <si>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</si>
  <si>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</si>
  <si>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</si>
  <si>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</si>
  <si>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</si>
  <si>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</si>
  <si>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</si>
  <si>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</si>
  <si>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</si>
  <si>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</si>
  <si>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</si>
  <si>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</si>
  <si>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</si>
  <si>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</si>
  <si>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</si>
  <si>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</si>
  <si>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</si>
  <si>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</si>
  <si>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</si>
  <si>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</si>
  <si>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</si>
  <si>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</si>
  <si>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</si>
  <si>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</si>
  <si>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</si>
  <si>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</si>
  <si>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</si>
  <si>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</si>
  <si>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</si>
  <si>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</si>
  <si>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</si>
  <si>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</si>
  <si>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</si>
  <si>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</si>
  <si>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</si>
  <si>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</si>
  <si>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</si>
  <si>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</si>
  <si>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</si>
  <si>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</si>
  <si>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</si>
  <si>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</si>
  <si>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</si>
  <si>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</si>
  <si>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</si>
  <si>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</si>
  <si>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</si>
  <si>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</si>
  <si>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</si>
  <si>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</si>
  <si>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</si>
  <si>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</si>
  <si>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</si>
  <si>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</si>
  <si>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</si>
  <si>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</si>
  <si>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</si>
  <si>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</si>
  <si>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</si>
  <si>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</si>
  <si>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</si>
  <si>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</si>
  <si>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</si>
  <si>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</si>
  <si>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</si>
  <si>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</si>
  <si>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</si>
  <si>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</si>
  <si>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</si>
  <si>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</si>
  <si>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</si>
  <si>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</si>
  <si>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</si>
  <si>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</si>
  <si>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</si>
  <si>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</si>
  <si>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</si>
  <si>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</si>
  <si>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</si>
  <si>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</si>
  <si>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</si>
  <si>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</si>
  <si>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</si>
  <si>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</si>
  <si>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</si>
  <si>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</si>
  <si>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</si>
  <si>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</si>
  <si>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</si>
  <si>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</si>
  <si>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</si>
  <si>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</si>
  <si>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</si>
  <si>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</si>
  <si>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</si>
  <si>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</si>
  <si>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</si>
  <si>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</si>
  <si>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</si>
  <si>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</si>
  <si>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</si>
  <si>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</si>
  <si>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</si>
  <si>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</si>
  <si>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</si>
  <si>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</si>
  <si>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</si>
  <si>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</si>
  <si>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</si>
  <si>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</si>
  <si>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</si>
  <si>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</si>
  <si>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</si>
  <si>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</si>
  <si>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</si>
  <si>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</si>
  <si>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</si>
  <si>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</si>
  <si>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</si>
  <si>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</si>
  <si>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</si>
  <si>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</si>
  <si>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</si>
  <si>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</si>
  <si>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</si>
  <si>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</si>
  <si>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</si>
  <si>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</si>
  <si>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</si>
  <si>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</si>
  <si>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</si>
  <si>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</si>
  <si>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</si>
  <si>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</si>
  <si>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</si>
  <si>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</si>
  <si>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</si>
  <si>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</si>
  <si>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</si>
  <si>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</si>
  <si>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</si>
  <si>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</si>
  <si>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</si>
  <si>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</si>
  <si>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</si>
  <si>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</si>
  <si>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</si>
  <si>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</si>
  <si>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</si>
  <si>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</si>
  <si>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</si>
  <si>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</si>
  <si>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</si>
  <si>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</si>
  <si>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</si>
  <si>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</si>
  <si>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</si>
  <si>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</si>
  <si>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</si>
  <si>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</si>
  <si>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</si>
  <si>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</si>
  <si>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</si>
  <si>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</si>
  <si>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</si>
  <si>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</si>
  <si>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</si>
  <si>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</si>
  <si>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</si>
  <si>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</si>
  <si>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</si>
  <si>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</si>
  <si>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</si>
  <si>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</si>
  <si>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</si>
  <si>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</si>
  <si>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</si>
  <si>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</si>
  <si>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</si>
  <si>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</si>
  <si>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</si>
  <si>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</si>
  <si>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</si>
  <si>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</si>
  <si>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</si>
  <si>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</si>
  <si>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</si>
  <si>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</si>
  <si>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</si>
  <si>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</si>
  <si>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</si>
  <si>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</si>
  <si>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</si>
  <si>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</si>
  <si>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</si>
  <si>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</si>
  <si>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</si>
  <si>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</si>
  <si>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</si>
  <si>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</si>
  <si>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</si>
  <si>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</si>
  <si>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</si>
  <si>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</si>
  <si>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</si>
  <si>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</si>
  <si>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</si>
  <si>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</si>
  <si>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</si>
  <si>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</si>
  <si>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</si>
  <si>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</si>
  <si>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</si>
  <si>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</si>
  <si>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</si>
  <si>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</si>
  <si>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</si>
  <si>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</si>
  <si>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</si>
  <si>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</si>
  <si>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</si>
  <si>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</si>
  <si>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</si>
  <si>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</si>
  <si>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</si>
  <si>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</si>
  <si>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</si>
  <si>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</si>
  <si>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</si>
  <si>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</si>
  <si>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</si>
  <si>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</si>
  <si>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</si>
  <si>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</si>
  <si>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</si>
  <si>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</si>
  <si>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</si>
  <si>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</si>
  <si>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</si>
  <si>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</si>
  <si>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</si>
  <si>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</si>
  <si>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</si>
  <si>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</si>
  <si>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</si>
  <si>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</si>
  <si>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</si>
  <si>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</si>
  <si>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</si>
  <si>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</si>
  <si>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</si>
  <si>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</si>
  <si>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</si>
  <si>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</si>
  <si>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</si>
  <si>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</si>
  <si>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</si>
  <si>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</si>
  <si>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</si>
  <si>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</si>
  <si>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</si>
  <si>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</si>
  <si>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</si>
  <si>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</si>
  <si>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</si>
  <si>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</si>
  <si>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</si>
  <si>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</si>
  <si>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</si>
  <si>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</si>
  <si>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</si>
  <si>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</si>
  <si>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</si>
  <si>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</si>
  <si>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</si>
  <si>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</si>
  <si>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</si>
  <si>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</si>
  <si>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</si>
  <si>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</si>
  <si>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</si>
  <si>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</si>
  <si>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</si>
  <si>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</si>
  <si>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</si>
  <si>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</si>
  <si>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</si>
  <si>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</si>
  <si>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</si>
  <si>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</si>
  <si>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</si>
  <si>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</si>
  <si>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</si>
  <si>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</si>
  <si>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</si>
  <si>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</si>
  <si>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</si>
  <si>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</si>
  <si>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</si>
  <si>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</si>
  <si>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</si>
  <si>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</si>
  <si>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</si>
  <si>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</si>
  <si>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</si>
  <si>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</si>
  <si>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</si>
  <si>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</si>
  <si>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</si>
  <si>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</si>
  <si>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</si>
  <si>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</si>
  <si>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</si>
  <si>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</si>
  <si>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</si>
  <si>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</si>
  <si>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</si>
  <si>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</si>
  <si>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</si>
  <si>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</si>
  <si>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</si>
  <si>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</si>
  <si>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</si>
  <si>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</si>
  <si>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</si>
  <si>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</si>
  <si>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</si>
  <si>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</si>
  <si>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</si>
  <si>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</si>
  <si>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</si>
  <si>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</si>
  <si>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</si>
  <si>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</si>
  <si>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</si>
  <si>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</si>
  <si>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</si>
  <si>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</si>
  <si>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</si>
  <si>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</si>
  <si>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</si>
  <si>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</si>
  <si>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</si>
  <si>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</si>
  <si>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</si>
  <si>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</si>
  <si>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</si>
  <si>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</si>
  <si>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</si>
  <si>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</si>
  <si>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</si>
  <si>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</si>
  <si>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</si>
  <si>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</si>
  <si>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</si>
  <si>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</si>
  <si>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</si>
  <si>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</si>
  <si>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</si>
  <si>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</si>
  <si>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</si>
  <si>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</si>
  <si>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</si>
  <si>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</si>
  <si>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</si>
  <si>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</si>
  <si>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</si>
  <si>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</si>
  <si>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</si>
  <si>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</si>
  <si>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</si>
  <si>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</si>
  <si>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</si>
  <si>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</si>
  <si>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</si>
  <si>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</si>
  <si>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</si>
  <si>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</si>
  <si>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</si>
  <si>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</si>
  <si>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</si>
  <si>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</si>
  <si>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</si>
  <si>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</si>
  <si>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</si>
  <si>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</si>
  <si>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</si>
  <si>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</si>
  <si>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</si>
  <si>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</si>
  <si>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</si>
  <si>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</si>
  <si>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</si>
  <si>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</si>
  <si>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</si>
  <si>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</si>
  <si>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</si>
  <si>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</si>
  <si>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</si>
  <si>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</si>
  <si>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</si>
  <si>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</si>
  <si>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</si>
  <si>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</si>
  <si>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</si>
  <si>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</si>
  <si>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</si>
  <si>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</si>
  <si>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</si>
  <si>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</si>
  <si>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</si>
  <si>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</si>
  <si>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</si>
  <si>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</si>
  <si>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</si>
  <si>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</si>
  <si>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</si>
  <si>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</si>
  <si>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</si>
  <si>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</si>
  <si>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</si>
  <si>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</si>
  <si>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</si>
  <si>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</si>
  <si>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</si>
  <si>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</si>
  <si>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</si>
  <si>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</si>
  <si>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</si>
  <si>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</si>
  <si>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</si>
  <si>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</si>
  <si>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</si>
  <si>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</si>
  <si>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</si>
  <si>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</si>
  <si>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</si>
  <si>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</si>
  <si>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</si>
  <si>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</si>
  <si>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</si>
  <si>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</si>
  <si>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</si>
  <si>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</si>
  <si>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</si>
  <si>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</si>
  <si>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</si>
  <si>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</si>
  <si>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</si>
  <si>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</si>
  <si>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</si>
  <si>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</si>
  <si>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</si>
  <si>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</si>
  <si>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</si>
  <si>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</si>
  <si>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</si>
  <si>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</si>
  <si>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</si>
  <si>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</si>
  <si>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</si>
  <si>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</si>
  <si>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</si>
  <si>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</si>
  <si>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</si>
  <si>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</si>
  <si>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</si>
  <si>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</si>
  <si>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</si>
  <si>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</si>
  <si>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</si>
  <si>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</si>
  <si>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</si>
  <si>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</si>
  <si>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</si>
  <si>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</si>
  <si>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</si>
  <si>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</si>
  <si>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</si>
  <si>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</si>
  <si>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</si>
  <si>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</si>
  <si>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</si>
  <si>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</si>
  <si>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</si>
  <si>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</si>
  <si>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</si>
  <si>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</si>
  <si>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</si>
  <si>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</si>
  <si>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</si>
  <si>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</si>
  <si>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</si>
  <si>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</si>
  <si>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</si>
  <si>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</si>
  <si>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</si>
  <si>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</si>
  <si>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</si>
  <si>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</si>
  <si>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</si>
  <si>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</si>
  <si>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</si>
  <si>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</si>
  <si>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</si>
  <si>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</si>
  <si>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</si>
  <si>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</si>
  <si>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</si>
  <si>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</si>
  <si>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</si>
  <si>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</si>
  <si>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</si>
  <si>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</si>
  <si>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</si>
  <si>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</si>
  <si>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</si>
  <si>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</si>
  <si>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</si>
  <si>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</si>
  <si>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</si>
  <si>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</si>
  <si>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</si>
  <si>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</si>
  <si>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</si>
  <si>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</si>
  <si>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</si>
  <si>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</si>
  <si>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</si>
  <si>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</si>
  <si>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</si>
  <si>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</si>
  <si>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</si>
  <si>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</si>
  <si>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</si>
  <si>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</si>
  <si>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</si>
  <si>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</si>
  <si>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</si>
  <si>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</si>
  <si>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</si>
  <si>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</si>
  <si>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</si>
  <si>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</si>
  <si>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</si>
  <si>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</si>
  <si>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</si>
  <si>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</si>
  <si>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</si>
  <si>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</si>
  <si>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</si>
  <si>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</si>
  <si>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</si>
  <si>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</si>
  <si>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</si>
  <si>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</si>
  <si>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</si>
  <si>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</si>
  <si>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</si>
  <si>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</si>
  <si>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</si>
  <si>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</si>
  <si>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</si>
  <si>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</si>
  <si>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</si>
  <si>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</si>
  <si>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</si>
  <si>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</si>
  <si>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</si>
  <si>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</si>
  <si>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</si>
  <si>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</si>
  <si>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</si>
  <si>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</si>
  <si>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</si>
  <si>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</si>
  <si>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</si>
  <si>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</si>
  <si>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</si>
  <si>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</si>
  <si>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</si>
  <si>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</si>
  <si>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</si>
  <si>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</si>
  <si>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</si>
  <si>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</si>
  <si>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</si>
  <si>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</si>
  <si>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</si>
  <si>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</si>
  <si>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</si>
  <si>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</si>
  <si>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</si>
  <si>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</si>
  <si>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</si>
  <si>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</si>
  <si>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</si>
  <si>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</si>
  <si>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</si>
  <si>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</si>
  <si>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</si>
  <si>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</si>
  <si>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</si>
  <si>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</si>
  <si>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</si>
  <si>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</si>
  <si>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</si>
  <si>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</si>
  <si>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</si>
  <si>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</si>
  <si>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</si>
  <si>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</si>
  <si>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</si>
  <si>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</si>
  <si>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</si>
  <si>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</si>
  <si>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</si>
  <si>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</si>
  <si>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</si>
  <si>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</si>
  <si>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</si>
  <si>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</si>
  <si>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</si>
  <si>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</si>
  <si>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</si>
  <si>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</si>
  <si>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</si>
  <si>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</si>
  <si>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</si>
  <si>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</si>
  <si>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</si>
  <si>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</si>
  <si>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</si>
  <si>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</si>
  <si>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</si>
  <si>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</si>
  <si>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</si>
  <si>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</si>
  <si>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</si>
  <si>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</si>
  <si>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</si>
  <si>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</si>
  <si>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</si>
  <si>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</si>
  <si>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</si>
  <si>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</si>
  <si>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</si>
  <si>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</si>
  <si>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</si>
  <si>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</si>
  <si>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</si>
  <si>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</si>
  <si>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</si>
  <si>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</si>
  <si>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</si>
  <si>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</si>
  <si>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</si>
  <si>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</si>
  <si>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</si>
  <si>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</si>
  <si>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</si>
  <si>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</si>
  <si>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</si>
  <si>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</si>
  <si>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</si>
  <si>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</si>
  <si>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</si>
  <si>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</si>
  <si>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</si>
  <si>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</si>
  <si>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</si>
  <si>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</si>
  <si>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</si>
  <si>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</si>
  <si>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</si>
  <si>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</si>
  <si>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</si>
  <si>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</si>
  <si>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</si>
  <si>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</si>
  <si>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</si>
  <si>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</si>
  <si>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</si>
  <si>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</si>
  <si>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</si>
  <si>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</si>
  <si>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</si>
  <si>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</si>
  <si>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</si>
  <si>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</si>
  <si>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</si>
  <si>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</si>
  <si>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</si>
  <si>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</si>
  <si>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</si>
  <si>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</si>
  <si>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</si>
  <si>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</si>
  <si>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</si>
  <si>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</si>
  <si>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</si>
  <si>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</si>
  <si>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</si>
  <si>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</si>
  <si>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</si>
  <si>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</si>
  <si>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</si>
  <si>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</si>
  <si>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</si>
  <si>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</si>
  <si>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</si>
  <si>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</si>
  <si>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</si>
  <si>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</si>
  <si>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</si>
  <si>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</si>
  <si>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</si>
  <si>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</si>
  <si>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</si>
  <si>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</si>
  <si>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</si>
  <si>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</si>
  <si>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</si>
  <si>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</si>
  <si>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</si>
  <si>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</si>
  <si>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</si>
  <si>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</si>
  <si>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</si>
  <si>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</si>
  <si>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</si>
  <si>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</si>
  <si>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</si>
  <si>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</si>
  <si>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</si>
  <si>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</si>
  <si>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</si>
  <si>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</si>
  <si>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</si>
  <si>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</si>
  <si>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</si>
  <si>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</si>
  <si>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</si>
  <si>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</si>
  <si>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</si>
  <si>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</si>
  <si>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</si>
  <si>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</si>
  <si>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</si>
  <si>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</si>
  <si>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</si>
  <si>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</si>
  <si>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</si>
  <si>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</si>
  <si>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</si>
  <si>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</si>
  <si>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</si>
  <si>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</si>
  <si>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</si>
  <si>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</si>
  <si>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</si>
  <si>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</si>
  <si>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</si>
  <si>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</si>
  <si>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</si>
  <si>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</si>
  <si>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</si>
  <si>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</si>
  <si>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</si>
  <si>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</si>
  <si>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</si>
  <si>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</si>
  <si>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</si>
  <si>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</si>
  <si>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</si>
  <si>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</si>
  <si>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</si>
  <si>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</si>
  <si>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</si>
  <si>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</si>
  <si>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</si>
  <si>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</si>
  <si>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</si>
  <si>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</si>
  <si>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</si>
  <si>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</si>
  <si>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</si>
  <si>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</si>
  <si>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</si>
  <si>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</si>
  <si>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</si>
  <si>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</si>
  <si>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</si>
  <si>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</si>
  <si>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</si>
  <si>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</si>
  <si>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</si>
  <si>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</si>
  <si>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</si>
  <si>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</si>
  <si>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</si>
  <si>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</si>
  <si>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</si>
  <si>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</si>
  <si>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</si>
  <si>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</si>
  <si>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</si>
  <si>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</si>
  <si>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</si>
  <si>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</si>
  <si>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</si>
  <si>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</si>
  <si>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</si>
  <si>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</si>
  <si>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</si>
  <si>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</si>
  <si>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</si>
  <si>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</si>
  <si>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</si>
  <si>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</si>
  <si>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</si>
  <si>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</si>
  <si>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</si>
  <si>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</si>
  <si>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</si>
  <si>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</si>
  <si>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</si>
  <si>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</si>
  <si>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</si>
  <si>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</si>
  <si>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</si>
  <si>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</si>
  <si>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</si>
  <si>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</si>
  <si>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</si>
  <si>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</si>
  <si>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</si>
  <si>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</si>
  <si>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</si>
  <si>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</si>
  <si>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</si>
  <si>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</si>
  <si>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</si>
  <si>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</si>
  <si>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</si>
  <si>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</si>
  <si>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</si>
  <si>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</si>
  <si>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</si>
  <si>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</si>
  <si>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</si>
  <si>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</si>
  <si>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</si>
  <si>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</si>
  <si>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</si>
  <si>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</si>
  <si>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</si>
  <si>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</si>
  <si>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</si>
  <si>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</si>
  <si>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</si>
  <si>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</si>
  <si>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</si>
  <si>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</si>
  <si>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</si>
  <si>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</si>
  <si>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</si>
  <si>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</si>
  <si>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</si>
  <si>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</si>
  <si>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</si>
  <si>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</si>
  <si>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</si>
  <si>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</si>
  <si>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</si>
  <si>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</si>
  <si>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</si>
  <si>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</si>
  <si>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</si>
  <si>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</si>
  <si>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</si>
  <si>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</si>
  <si>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</si>
  <si>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</si>
  <si>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</si>
  <si>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</si>
  <si>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</si>
  <si>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</si>
  <si>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</si>
  <si>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</si>
  <si>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</si>
  <si>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</si>
  <si>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</si>
  <si>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</si>
  <si>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</si>
  <si>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</si>
  <si>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</si>
  <si>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</si>
  <si>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</si>
  <si>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</si>
  <si>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</si>
  <si>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</si>
  <si>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</si>
  <si>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</si>
  <si>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</si>
  <si>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</si>
  <si>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</si>
  <si>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</si>
  <si>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</si>
  <si>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</si>
  <si>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</si>
  <si>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</si>
  <si>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</si>
  <si>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</si>
  <si>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</si>
  <si>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</si>
  <si>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</si>
  <si>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</si>
  <si>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</si>
  <si>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</si>
  <si>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</si>
  <si>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</si>
  <si>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</si>
  <si>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</si>
  <si>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</si>
  <si>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</si>
  <si>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</si>
  <si>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</si>
  <si>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</si>
  <si>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</si>
  <si>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</si>
  <si>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</si>
  <si>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</si>
  <si>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</si>
  <si>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</si>
  <si>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</si>
  <si>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</si>
  <si>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</si>
  <si>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</si>
  <si>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</si>
  <si>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</si>
  <si>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</si>
  <si>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</si>
  <si>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</si>
  <si>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</si>
  <si>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</si>
  <si>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</si>
  <si>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</si>
  <si>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</si>
  <si>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</si>
  <si>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</si>
  <si>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</si>
  <si>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</si>
  <si>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</si>
  <si>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</si>
  <si>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</si>
  <si>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</si>
  <si>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</si>
  <si>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</si>
  <si>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</si>
  <si>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</si>
  <si>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</si>
  <si>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</si>
  <si>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</si>
  <si>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</si>
  <si>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</si>
  <si>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</si>
  <si>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</si>
  <si>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</si>
  <si>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</si>
  <si>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</si>
  <si>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</si>
  <si>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</si>
  <si>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</si>
  <si>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</si>
  <si>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</si>
  <si>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</si>
  <si>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</si>
  <si>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</si>
  <si>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</si>
  <si>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</si>
  <si>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</si>
  <si>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</si>
  <si>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</si>
  <si>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</si>
  <si>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</si>
  <si>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</si>
  <si>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</si>
  <si>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</si>
  <si>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</si>
  <si>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</si>
  <si>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</si>
  <si>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</si>
  <si>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</si>
  <si>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</si>
  <si>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</si>
  <si>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</si>
  <si>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</si>
  <si>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</si>
  <si>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</si>
  <si>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</si>
  <si>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</si>
  <si>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</si>
  <si>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</si>
  <si>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</si>
  <si>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</si>
  <si>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</si>
  <si>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</si>
  <si>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</si>
  <si>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</si>
  <si>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</si>
  <si>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</si>
  <si>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</si>
  <si>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</si>
  <si>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</si>
  <si>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</si>
  <si>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</si>
  <si>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</si>
  <si>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</si>
  <si>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</si>
  <si>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</si>
  <si>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</si>
  <si>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</si>
  <si>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</si>
  <si>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</si>
  <si>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</si>
  <si>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</si>
  <si>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</si>
  <si>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</si>
  <si>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</si>
  <si>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</si>
  <si>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</si>
  <si>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</si>
  <si>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</si>
  <si>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</si>
  <si>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</si>
  <si>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</si>
  <si>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</si>
  <si>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</si>
  <si>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</si>
  <si>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</si>
  <si>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</si>
  <si>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</si>
  <si>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</si>
  <si>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</si>
  <si>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</si>
  <si>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</si>
  <si>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</si>
  <si>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</si>
  <si>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</si>
  <si>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</si>
  <si>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</si>
  <si>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</si>
  <si>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</si>
  <si>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</si>
  <si>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</si>
  <si>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</si>
  <si>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</si>
  <si>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</si>
  <si>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</si>
  <si>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</si>
  <si>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</si>
  <si>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</si>
  <si>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</si>
  <si>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</si>
  <si>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</si>
  <si>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</si>
  <si>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</si>
  <si>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</si>
  <si>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</si>
  <si>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</si>
  <si>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</si>
  <si>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</si>
  <si>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</si>
  <si>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</si>
  <si>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</si>
  <si>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</si>
  <si>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</si>
  <si>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</si>
  <si>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</si>
  <si>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</si>
  <si>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</si>
  <si>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</si>
  <si>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</si>
  <si>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</si>
  <si>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</si>
  <si>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</si>
  <si>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</si>
  <si>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</si>
  <si>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</si>
  <si>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</si>
  <si>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</si>
  <si>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</si>
  <si>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</si>
  <si>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</si>
  <si>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</si>
  <si>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</si>
  <si>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</si>
  <si>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</si>
  <si>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</si>
  <si>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</si>
  <si>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</si>
  <si>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</si>
  <si>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</si>
  <si>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</si>
  <si>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</si>
  <si>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</si>
  <si>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</si>
  <si>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</si>
  <si>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</si>
  <si>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</si>
  <si>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</si>
  <si>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</si>
  <si>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</si>
  <si>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</si>
  <si>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</si>
  <si>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</si>
  <si>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</si>
  <si>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</si>
  <si>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</si>
  <si>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</si>
  <si>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</si>
  <si>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</si>
  <si>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</si>
  <si>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</si>
  <si>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</si>
  <si>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</si>
  <si>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</si>
  <si>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</si>
  <si>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</si>
  <si>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</si>
  <si>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</si>
  <si>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</si>
  <si>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</si>
  <si>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</si>
  <si>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</si>
  <si>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</si>
  <si>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</si>
  <si>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</si>
  <si>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</si>
  <si>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</si>
  <si>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</si>
  <si>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</si>
  <si>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</si>
  <si>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</si>
  <si>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</si>
  <si>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</si>
  <si>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</si>
  <si>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</si>
  <si>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</si>
  <si>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</si>
  <si>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</si>
  <si>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</si>
  <si>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</si>
  <si>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</si>
  <si>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</si>
  <si>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</si>
  <si>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</si>
  <si>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</si>
  <si>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</si>
  <si>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</si>
  <si>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</si>
  <si>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</si>
  <si>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</si>
  <si>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</si>
  <si>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</si>
  <si>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</si>
  <si>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</si>
  <si>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</si>
  <si>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</si>
  <si>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</si>
  <si>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</si>
  <si>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</si>
  <si>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</si>
  <si>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</si>
  <si>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</si>
  <si>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</si>
  <si>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</si>
  <si>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</si>
  <si>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</si>
  <si>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</si>
  <si>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</si>
  <si>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</si>
  <si>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</si>
  <si>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</si>
  <si>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</si>
  <si>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</si>
  <si>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</si>
  <si>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</si>
  <si>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</si>
  <si>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</si>
  <si>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</si>
  <si>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</si>
  <si>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</si>
  <si>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</si>
  <si>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</si>
  <si>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</si>
  <si>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</si>
  <si>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</si>
  <si>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</si>
  <si>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</si>
  <si>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</si>
  <si>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</si>
  <si>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</si>
  <si>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</si>
  <si>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</si>
  <si>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</si>
  <si>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</si>
  <si>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</si>
  <si>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</si>
  <si>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</si>
  <si>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</si>
  <si>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</si>
  <si>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</si>
  <si>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</si>
  <si>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</si>
  <si>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</si>
  <si>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</si>
  <si>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</si>
  <si>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</si>
  <si>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</si>
  <si>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</si>
  <si>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</si>
  <si>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</si>
  <si>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</si>
  <si>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</si>
  <si>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</si>
  <si>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</si>
  <si>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</si>
  <si>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</si>
  <si>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</si>
  <si>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</si>
  <si>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</si>
  <si>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</si>
  <si>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</si>
  <si>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</si>
  <si>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</si>
  <si>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</si>
  <si>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</si>
  <si>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</si>
  <si>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</si>
  <si>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</si>
  <si>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</si>
  <si>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</si>
  <si>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</si>
  <si>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</si>
  <si>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</si>
  <si>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</si>
  <si>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</si>
  <si>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</si>
  <si>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</si>
  <si>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</si>
  <si>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</si>
  <si>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</si>
  <si>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</si>
  <si>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</si>
  <si>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</si>
  <si>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</si>
  <si>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</si>
  <si>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</si>
  <si>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</si>
  <si>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</si>
  <si>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</si>
  <si>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</si>
  <si>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</si>
  <si>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</si>
  <si>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</si>
  <si>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</si>
  <si>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</si>
  <si>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</si>
  <si>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</si>
  <si>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</si>
  <si>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</si>
  <si>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</si>
  <si>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</si>
  <si>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</si>
  <si>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</si>
  <si>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</si>
  <si>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</si>
  <si>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</si>
  <si>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</si>
  <si>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</si>
  <si>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</si>
  <si>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</si>
  <si>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</si>
  <si>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</si>
  <si>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</si>
  <si>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</si>
  <si>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</si>
  <si>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</si>
  <si>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</si>
  <si>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</si>
  <si>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</si>
  <si>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</si>
  <si>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</si>
  <si>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</si>
  <si>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</si>
  <si>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</si>
  <si>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</si>
  <si>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</si>
  <si>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</si>
  <si>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</si>
  <si>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</si>
  <si>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</si>
  <si>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</si>
  <si>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</si>
  <si>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</si>
  <si>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</si>
  <si>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</si>
  <si>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</si>
  <si>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</si>
  <si>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</si>
  <si>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</si>
  <si>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</si>
  <si>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</si>
  <si>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</si>
  <si>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</si>
  <si>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</si>
  <si>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</si>
  <si>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</si>
  <si>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</si>
  <si>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</si>
  <si>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</si>
  <si>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</si>
  <si>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</si>
  <si>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</si>
  <si>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</si>
  <si>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</si>
  <si>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</si>
  <si>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</si>
  <si>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</si>
  <si>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</si>
  <si>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</si>
  <si>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</si>
  <si>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</si>
  <si>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</si>
  <si>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</si>
  <si>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</si>
  <si>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</si>
  <si>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</si>
  <si>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</si>
  <si>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</si>
  <si>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</si>
  <si>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</si>
  <si>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</si>
  <si>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</si>
  <si>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</si>
  <si>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</si>
  <si>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</si>
  <si>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</si>
  <si>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</si>
  <si>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</si>
  <si>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</si>
  <si>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</si>
  <si>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</si>
  <si>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</si>
  <si>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</si>
  <si>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</si>
  <si>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</si>
  <si>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</si>
  <si>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</si>
  <si>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</si>
  <si>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</si>
  <si>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</si>
  <si>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</si>
  <si>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</si>
  <si>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</si>
  <si>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</si>
  <si>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</si>
  <si>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</si>
  <si>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</si>
  <si>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</si>
  <si>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</si>
  <si>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</si>
  <si>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</si>
  <si>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</si>
  <si>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</si>
  <si>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</si>
  <si>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</si>
  <si>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</si>
  <si>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</si>
  <si>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</si>
  <si>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</si>
  <si>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</si>
  <si>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</si>
  <si>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</si>
  <si>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</si>
  <si>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</si>
  <si>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</si>
  <si>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</si>
  <si>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</si>
  <si>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</si>
  <si>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</si>
  <si>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</si>
  <si>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</si>
  <si>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</si>
  <si>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</si>
  <si>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</si>
  <si>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</si>
  <si>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</si>
  <si>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</si>
  <si>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</si>
  <si>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</si>
  <si>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</si>
  <si>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</si>
  <si>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</si>
  <si>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</si>
  <si>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</si>
  <si>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</si>
  <si>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</si>
  <si>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</si>
  <si>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</si>
  <si>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</si>
  <si>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</si>
  <si>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</si>
  <si>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</si>
  <si>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</si>
  <si>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</si>
  <si>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</si>
  <si>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</si>
  <si>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</si>
  <si>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</si>
  <si>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</si>
  <si>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</si>
  <si>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</si>
  <si>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</si>
  <si>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</si>
  <si>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</si>
  <si>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</si>
  <si>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</si>
  <si>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</si>
  <si>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</si>
  <si>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</si>
  <si>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</si>
  <si>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</si>
  <si>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</si>
  <si>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</si>
  <si>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</si>
  <si>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</si>
  <si>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</si>
  <si>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</si>
  <si>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</si>
  <si>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</si>
  <si>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</si>
  <si>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</si>
  <si>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</si>
  <si>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</si>
  <si>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</si>
  <si>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</si>
  <si>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</si>
  <si>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</si>
  <si>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</si>
  <si>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</si>
  <si>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</si>
  <si>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</si>
  <si>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</si>
  <si>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</si>
  <si>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</si>
  <si>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</si>
  <si>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</si>
  <si>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</si>
  <si>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</si>
  <si>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</si>
  <si>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</si>
  <si>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</si>
  <si>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</si>
  <si>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</si>
  <si>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</si>
  <si>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</si>
  <si>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</si>
  <si>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</si>
  <si>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</si>
  <si>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</si>
  <si>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</si>
  <si>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</si>
  <si>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</si>
  <si>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</si>
  <si>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</si>
  <si>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</si>
  <si>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</si>
  <si>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</si>
  <si>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</si>
  <si>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</si>
  <si>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</si>
  <si>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</si>
  <si>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</si>
  <si>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</si>
  <si>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</si>
  <si>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</si>
  <si>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</si>
  <si>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</si>
  <si>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</si>
  <si>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</si>
  <si>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</si>
  <si>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</si>
  <si>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</si>
  <si>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</si>
  <si>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</si>
  <si>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</si>
  <si>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</si>
  <si>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</si>
  <si>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</si>
  <si>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</si>
  <si>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</si>
  <si>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</si>
  <si>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</si>
  <si>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</si>
  <si>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</si>
  <si>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</si>
  <si>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</si>
  <si>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</si>
  <si>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</si>
  <si>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</si>
  <si>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</si>
  <si>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</si>
  <si>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</si>
  <si>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</si>
  <si>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</si>
  <si>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</si>
  <si>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</si>
  <si>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</si>
  <si>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</si>
  <si>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</si>
  <si>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</si>
  <si>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</si>
  <si>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</si>
  <si>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</si>
  <si>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</si>
  <si>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</si>
  <si>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</si>
  <si>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</si>
  <si>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</si>
  <si>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</si>
  <si>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</si>
  <si>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</si>
  <si>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</si>
  <si>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</si>
  <si>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</si>
  <si>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</si>
  <si>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</si>
  <si>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</si>
  <si>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</si>
  <si>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</si>
  <si>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</si>
  <si>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</si>
  <si>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</si>
  <si>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</si>
  <si>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</si>
  <si>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</si>
  <si>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</si>
  <si>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</si>
  <si>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</si>
  <si>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</si>
  <si>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</si>
  <si>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</si>
  <si>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</si>
  <si>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</si>
  <si>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</si>
  <si>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</si>
  <si>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</si>
  <si>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</si>
  <si>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</si>
  <si>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</si>
  <si>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</si>
  <si>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</si>
  <si>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</si>
  <si>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</si>
  <si>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</si>
  <si>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</si>
  <si>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</si>
  <si>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</si>
  <si>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</si>
  <si>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</si>
  <si>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</si>
  <si>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</si>
  <si>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</si>
  <si>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</si>
  <si>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</si>
  <si>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</si>
  <si>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</si>
  <si>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</si>
  <si>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</si>
  <si>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</si>
  <si>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</si>
  <si>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</si>
  <si>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</si>
  <si>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</si>
  <si>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</si>
  <si>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</si>
  <si>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</si>
  <si>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</si>
  <si>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</si>
  <si>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</si>
  <si>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</si>
  <si>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</si>
  <si>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</si>
  <si>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</si>
  <si>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</si>
  <si>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</si>
  <si>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</si>
  <si>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</si>
  <si>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</si>
  <si>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</si>
  <si>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</si>
  <si>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</si>
  <si>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</si>
  <si>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</si>
  <si>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</si>
  <si>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</si>
  <si>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</si>
  <si>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</si>
  <si>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</si>
  <si>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</si>
  <si>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</si>
  <si>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</si>
  <si>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</si>
  <si>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</si>
  <si>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</si>
  <si>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</si>
  <si>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</si>
  <si>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</si>
  <si>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</si>
  <si>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</si>
  <si>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</si>
  <si>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</si>
  <si>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</si>
  <si>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</si>
  <si>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</si>
  <si>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</si>
  <si>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</si>
  <si>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</si>
  <si>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</si>
  <si>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</si>
  <si>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</si>
  <si>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</si>
  <si>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</si>
  <si>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</si>
  <si>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</si>
  <si>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</si>
  <si>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</si>
  <si>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</si>
  <si>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</si>
  <si>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</si>
  <si>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</si>
  <si>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</si>
  <si>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</si>
  <si>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</si>
  <si>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</si>
  <si>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</si>
  <si>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</si>
  <si>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</si>
  <si>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</si>
  <si>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</si>
  <si>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</si>
  <si>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</si>
  <si>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</si>
  <si>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</si>
  <si>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</si>
  <si>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</si>
  <si>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</si>
  <si>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</si>
  <si>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</si>
  <si>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</si>
  <si>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</si>
  <si>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</si>
  <si>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</si>
  <si>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</si>
  <si>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</si>
  <si>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</si>
  <si>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</si>
  <si>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</si>
  <si>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</si>
  <si>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</si>
  <si>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</si>
  <si>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</si>
  <si>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</si>
  <si>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</si>
  <si>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</si>
  <si>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</si>
  <si>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</si>
  <si>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</si>
  <si>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</si>
  <si>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</si>
  <si>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</si>
  <si>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</si>
  <si>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</si>
  <si>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</si>
  <si>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</si>
  <si>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</si>
  <si>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</si>
  <si>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</si>
  <si>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</si>
  <si>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</si>
  <si>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</si>
  <si>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</si>
  <si>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</si>
  <si>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</si>
  <si>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</si>
  <si>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</si>
  <si>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</si>
  <si>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</si>
  <si>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</si>
  <si>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</si>
  <si>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</si>
  <si>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</si>
  <si>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</si>
  <si>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</si>
  <si>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</si>
  <si>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</si>
  <si>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</si>
  <si>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</si>
  <si>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</si>
  <si>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</si>
  <si>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</si>
  <si>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</si>
  <si>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</si>
  <si>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</si>
  <si>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</si>
  <si>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</si>
  <si>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</si>
  <si>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</si>
  <si>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</si>
  <si>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</si>
  <si>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</si>
  <si>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</si>
  <si>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</si>
  <si>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</si>
  <si>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</si>
  <si>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</si>
  <si>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</si>
  <si>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</si>
  <si>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</si>
  <si>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</si>
  <si>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</si>
  <si>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</si>
  <si>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</si>
  <si>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</si>
  <si>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</si>
  <si>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</si>
  <si>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</si>
  <si>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</si>
  <si>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</si>
  <si>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</si>
  <si>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</si>
  <si>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</si>
  <si>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</si>
  <si>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</si>
  <si>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</si>
  <si>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</si>
  <si>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</si>
  <si>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</si>
  <si>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</si>
  <si>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</si>
  <si>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</si>
  <si>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</si>
  <si>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</si>
  <si>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</si>
  <si>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</si>
  <si>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</si>
  <si>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</si>
  <si>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</si>
  <si>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</si>
  <si>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</si>
  <si>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</si>
  <si>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</si>
  <si>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</si>
  <si>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</si>
  <si>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</si>
  <si>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</si>
  <si>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</si>
  <si>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</si>
  <si>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</si>
  <si>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</si>
  <si>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</si>
  <si>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</si>
  <si>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</si>
  <si>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</si>
  <si>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</si>
  <si>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</si>
  <si>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</si>
  <si>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</si>
  <si>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</si>
  <si>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</si>
  <si>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</si>
  <si>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</si>
  <si>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</si>
  <si>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</si>
  <si>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</si>
  <si>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</si>
  <si>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</si>
  <si>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</si>
  <si>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</si>
  <si>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</si>
  <si>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</si>
  <si>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</si>
  <si>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</si>
  <si>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</si>
  <si>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</si>
  <si>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</si>
  <si>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</si>
  <si>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</si>
  <si>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</si>
  <si>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</si>
  <si>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</si>
  <si>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</si>
  <si>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</si>
  <si>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</si>
  <si>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</si>
  <si>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</si>
  <si>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</si>
  <si>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</si>
  <si>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</si>
  <si>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</si>
  <si>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</si>
  <si>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</si>
  <si>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</si>
  <si>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</si>
  <si>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</si>
  <si>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</si>
  <si>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</si>
  <si>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</si>
  <si>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</si>
  <si>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</si>
  <si>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</si>
  <si>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</si>
  <si>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</si>
  <si>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</si>
  <si>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</si>
  <si>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</si>
  <si>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</si>
  <si>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</si>
  <si>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</si>
  <si>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</si>
  <si>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</si>
  <si>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</si>
  <si>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</si>
  <si>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</si>
  <si>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</si>
  <si>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</si>
  <si>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</si>
  <si>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</si>
  <si>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</si>
  <si>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</si>
  <si>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</si>
  <si>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</si>
  <si>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</si>
  <si>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</si>
  <si>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</si>
  <si>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</si>
  <si>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</si>
  <si>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</si>
  <si>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</si>
  <si>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</si>
  <si>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</si>
  <si>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</si>
  <si>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</si>
  <si>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</si>
  <si>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</si>
  <si>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</si>
  <si>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</si>
  <si>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</si>
  <si>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</si>
  <si>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</si>
  <si>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</si>
  <si>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</si>
  <si>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</si>
  <si>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</si>
  <si>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</si>
  <si>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</si>
  <si>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</si>
  <si>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</si>
  <si>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</si>
  <si>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</si>
  <si>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</si>
  <si>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</si>
  <si>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</si>
  <si>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</si>
  <si>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</si>
  <si>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</si>
  <si>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</si>
  <si>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</si>
  <si>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</si>
  <si>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</si>
  <si>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</si>
  <si>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</si>
  <si>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</si>
  <si>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</si>
  <si>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</si>
  <si>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</si>
  <si>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</si>
  <si>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</si>
  <si>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</si>
  <si>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</si>
  <si>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</si>
  <si>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</si>
  <si>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</si>
  <si>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</si>
  <si>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</si>
  <si>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</si>
  <si>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</si>
  <si>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</si>
  <si>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</si>
  <si>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</si>
  <si>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</si>
  <si>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</si>
  <si>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</si>
  <si>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</si>
  <si>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</si>
  <si>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</si>
  <si>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</si>
  <si>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</si>
  <si>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</si>
  <si>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</si>
  <si>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</si>
  <si>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</si>
  <si>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</si>
  <si>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</si>
  <si>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</si>
  <si>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</si>
  <si>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</si>
  <si>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</si>
  <si>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</si>
  <si>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</si>
  <si>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</si>
  <si>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</si>
  <si>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</si>
  <si>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</si>
  <si>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</si>
  <si>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</si>
  <si>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</si>
  <si>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</si>
  <si>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</si>
  <si>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</si>
  <si>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</si>
  <si>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</si>
  <si>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</si>
  <si>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</si>
  <si>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</si>
  <si>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</si>
  <si>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</si>
  <si>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</si>
  <si>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</si>
  <si>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</si>
  <si>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</si>
  <si>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</si>
  <si>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</si>
  <si>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</si>
  <si>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</si>
  <si>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</si>
  <si>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</si>
  <si>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</si>
  <si>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</si>
  <si>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</si>
  <si>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</si>
  <si>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</si>
  <si>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</si>
  <si>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</si>
  <si>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</si>
  <si>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</si>
  <si>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</si>
  <si>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</si>
  <si>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</si>
  <si>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</si>
  <si>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</si>
  <si>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</si>
  <si>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</si>
  <si>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</si>
  <si>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</si>
  <si>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</si>
  <si>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</si>
  <si>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</si>
  <si>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</si>
  <si>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</si>
  <si>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</si>
  <si>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</si>
  <si>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</si>
  <si>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</si>
  <si>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</si>
  <si>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</si>
  <si>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</si>
  <si>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</si>
  <si>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</si>
  <si>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</si>
  <si>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</si>
  <si>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</si>
  <si>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</si>
  <si>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</si>
  <si>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</si>
  <si>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</si>
  <si>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</si>
  <si>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</si>
  <si>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</si>
  <si>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</si>
  <si>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</si>
  <si>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</si>
  <si>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</si>
  <si>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</si>
  <si>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</si>
  <si>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</si>
  <si>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</si>
  <si>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</si>
  <si>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</si>
  <si>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</si>
  <si>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</si>
  <si>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</si>
  <si>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</si>
  <si>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</si>
  <si>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</si>
  <si>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</si>
  <si>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</si>
  <si>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</si>
  <si>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</si>
  <si>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</si>
  <si>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</si>
  <si>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</si>
  <si>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</si>
  <si>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</si>
  <si>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</si>
  <si>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</si>
  <si>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</si>
  <si>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</si>
  <si>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</si>
  <si>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</si>
  <si>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</si>
  <si>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</si>
  <si>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</si>
  <si>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</si>
  <si>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</si>
  <si>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</si>
  <si>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</si>
  <si>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</si>
  <si>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</si>
  <si>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</si>
  <si>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</si>
  <si>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</si>
  <si>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</si>
  <si>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</si>
  <si>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</si>
  <si>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</si>
  <si>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</si>
  <si>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</si>
  <si>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</si>
  <si>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</si>
  <si>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</si>
  <si>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</si>
  <si>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</si>
  <si>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</si>
  <si>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</si>
  <si>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</si>
  <si>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</si>
  <si>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</si>
  <si>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</si>
  <si>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</si>
  <si>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</si>
  <si>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</si>
  <si>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</si>
  <si>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</si>
  <si>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</si>
  <si>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</si>
  <si>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</si>
  <si>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</si>
  <si>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</si>
  <si>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</si>
  <si>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</si>
  <si>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</si>
  <si>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</si>
  <si>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</si>
  <si>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</si>
  <si>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</si>
  <si>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</si>
  <si>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</si>
  <si>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</si>
  <si>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</si>
  <si>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</si>
  <si>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</si>
  <si>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</si>
  <si>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</si>
  <si>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</si>
  <si>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</si>
  <si>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</si>
  <si>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</si>
  <si>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</si>
  <si>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</si>
  <si>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</si>
  <si>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</si>
  <si>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</si>
  <si>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</si>
  <si>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</si>
  <si>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</si>
  <si>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</si>
  <si>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</si>
  <si>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</si>
  <si>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</si>
  <si>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</si>
  <si>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</si>
  <si>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</si>
  <si>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</si>
  <si>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</si>
  <si>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</si>
  <si>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</si>
  <si>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</si>
  <si>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</si>
  <si>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</si>
  <si>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</si>
  <si>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</si>
  <si>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</si>
  <si>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</si>
  <si>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</si>
  <si>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</si>
  <si>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</si>
  <si>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</si>
  <si>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</si>
  <si>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</si>
  <si>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</si>
  <si>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</si>
  <si>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</si>
  <si>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</si>
  <si>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</si>
  <si>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</si>
  <si>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</si>
  <si>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</si>
  <si>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</si>
  <si>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</si>
  <si>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</si>
  <si>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</si>
  <si>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</si>
  <si>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</si>
  <si>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</si>
  <si>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</si>
  <si>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</si>
  <si>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</si>
  <si>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</si>
  <si>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</si>
  <si>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</si>
  <si>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</si>
  <si>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</si>
  <si>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</si>
  <si>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</si>
  <si>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</si>
  <si>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</si>
  <si>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</si>
  <si>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</si>
  <si>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</si>
  <si>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</si>
  <si>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</si>
  <si>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</si>
  <si>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</si>
  <si>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</si>
  <si>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</si>
  <si>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</si>
  <si>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</si>
  <si>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</si>
  <si>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</si>
  <si>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</si>
  <si>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</si>
  <si>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</si>
  <si>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</si>
  <si>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</si>
  <si>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</si>
  <si>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</si>
  <si>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</si>
  <si>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</si>
  <si>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</si>
  <si>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</si>
  <si>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</si>
  <si>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</si>
  <si>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</si>
  <si>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</si>
  <si>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</si>
  <si>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</si>
  <si>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</si>
  <si>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</si>
  <si>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</si>
  <si>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</si>
  <si>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</si>
  <si>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</si>
  <si>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</si>
  <si>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</si>
  <si>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</si>
  <si>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</si>
  <si>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</si>
  <si>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</si>
  <si>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</si>
  <si>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</si>
  <si>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</si>
  <si>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</si>
  <si>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</si>
  <si>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</si>
  <si>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</si>
  <si>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</si>
  <si>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</si>
  <si>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</si>
  <si>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</si>
  <si>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</si>
  <si>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</si>
  <si>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</si>
  <si>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</si>
  <si>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</si>
  <si>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</si>
  <si>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</si>
  <si>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</si>
  <si>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</si>
  <si>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</si>
  <si>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</si>
  <si>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</si>
  <si>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</si>
  <si>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</si>
  <si>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</si>
  <si>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</si>
  <si>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</si>
  <si>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</si>
  <si>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</si>
  <si>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</si>
  <si>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</si>
  <si>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</si>
  <si>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</si>
  <si>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</si>
  <si>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</si>
  <si>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</si>
  <si>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</si>
  <si>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</si>
  <si>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</si>
  <si>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</si>
  <si>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</si>
  <si>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</si>
  <si>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</si>
  <si>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</si>
  <si>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</si>
  <si>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</si>
  <si>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</si>
  <si>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</si>
  <si>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</si>
  <si>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</si>
  <si>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</si>
  <si>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</si>
  <si>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</si>
  <si>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</si>
  <si>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</si>
  <si>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</si>
  <si>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</si>
  <si>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</si>
  <si>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</si>
  <si>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</si>
  <si>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</si>
  <si>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</si>
  <si>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</si>
  <si>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</si>
  <si>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</si>
  <si>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</si>
  <si>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</si>
  <si>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</si>
  <si>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</si>
  <si>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</si>
  <si>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</si>
  <si>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</si>
  <si>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</si>
  <si>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</si>
  <si>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</si>
  <si>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</si>
  <si>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</si>
  <si>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</si>
  <si>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</si>
  <si>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</si>
  <si>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</si>
  <si>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</si>
  <si>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</si>
  <si>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</si>
  <si>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</si>
  <si>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</si>
  <si>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</si>
  <si>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</si>
  <si>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</si>
  <si>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</si>
  <si>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</si>
  <si>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</si>
  <si>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</si>
  <si>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</si>
  <si>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</si>
  <si>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</si>
  <si>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</si>
  <si>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</si>
  <si>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</si>
  <si>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</si>
  <si>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</si>
  <si>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</si>
  <si>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</si>
  <si>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</si>
  <si>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</si>
  <si>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</si>
  <si>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</si>
  <si>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</si>
  <si>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</si>
  <si>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</si>
  <si>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</si>
  <si>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</si>
  <si>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</si>
  <si>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</si>
  <si>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</si>
  <si>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</si>
  <si>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</si>
  <si>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</si>
  <si>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</si>
  <si>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</si>
  <si>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</si>
  <si>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</si>
  <si>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</si>
  <si>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</si>
  <si>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</si>
  <si>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</si>
  <si>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</si>
  <si>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</si>
  <si>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</si>
  <si>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</si>
  <si>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</si>
  <si>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</si>
  <si>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</si>
  <si>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</si>
  <si>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</si>
  <si>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</si>
  <si>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</si>
  <si>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</si>
  <si>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</si>
  <si>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</si>
  <si>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</si>
  <si>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</si>
  <si>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</si>
  <si>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</si>
  <si>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</si>
  <si>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</si>
  <si>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</si>
  <si>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</si>
  <si>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</si>
  <si>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</si>
  <si>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</si>
  <si>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</si>
  <si>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</si>
  <si>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</si>
  <si>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</si>
  <si>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</si>
  <si>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</si>
  <si>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</si>
  <si>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</si>
  <si>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</si>
  <si>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</si>
  <si>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</si>
  <si>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</si>
  <si>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</si>
  <si>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</si>
  <si>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</si>
  <si>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</si>
  <si>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</si>
  <si>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</si>
  <si>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</si>
  <si>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</si>
  <si>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</si>
  <si>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</si>
  <si>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</si>
  <si>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</si>
  <si>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</si>
  <si>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</si>
  <si>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</si>
  <si>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</si>
  <si>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</si>
  <si>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</si>
  <si>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</si>
  <si>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</si>
  <si>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</si>
  <si>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</si>
  <si>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</si>
  <si>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</si>
  <si>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</si>
  <si>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</si>
  <si>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</si>
  <si>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</si>
  <si>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</si>
  <si>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</si>
  <si>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</si>
  <si>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</si>
  <si>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</si>
  <si>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</si>
  <si>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</si>
  <si>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</si>
  <si>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</si>
  <si>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</si>
  <si>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</si>
  <si>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</si>
  <si>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</si>
  <si>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</si>
  <si>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</si>
  <si>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</si>
  <si>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</si>
  <si>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</si>
  <si>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</si>
  <si>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</si>
  <si>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</si>
  <si>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</si>
  <si>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</si>
  <si>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</si>
  <si>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</si>
  <si>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</si>
  <si>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</si>
  <si>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</si>
  <si>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</si>
  <si>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</si>
  <si>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</si>
  <si>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</si>
  <si>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</si>
  <si>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</si>
  <si>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</si>
  <si>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</si>
  <si>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</si>
  <si>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</si>
  <si>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</si>
  <si>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</si>
  <si>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</si>
  <si>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</si>
  <si>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</si>
  <si>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</si>
  <si>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</si>
  <si>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</si>
  <si>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</si>
  <si>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</si>
  <si>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</si>
  <si>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</si>
  <si>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</si>
  <si>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</si>
  <si>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</si>
  <si>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</si>
  <si>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</si>
  <si>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</si>
  <si>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</si>
  <si>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</si>
  <si>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</si>
  <si>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</si>
  <si>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</si>
  <si>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</si>
  <si>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</si>
  <si>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</si>
  <si>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</si>
  <si>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</si>
  <si>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</si>
  <si>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</si>
  <si>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</si>
  <si>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</si>
  <si>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</si>
  <si>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</si>
  <si>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</si>
  <si>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</si>
  <si>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</si>
  <si>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</si>
  <si>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</si>
  <si>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</si>
  <si>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</si>
  <si>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</si>
  <si>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</si>
  <si>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</si>
  <si>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</si>
  <si>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</si>
  <si>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</si>
  <si>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</si>
  <si>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</si>
  <si>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</si>
  <si>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</si>
  <si>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</si>
  <si>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</si>
  <si>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</si>
  <si>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</si>
  <si>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</si>
  <si>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</si>
  <si>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</si>
  <si>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</si>
  <si>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</si>
  <si>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</si>
  <si>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</si>
  <si>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</si>
  <si>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</si>
  <si>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</si>
  <si>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</si>
  <si>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</si>
  <si>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</si>
  <si>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</si>
  <si>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</si>
  <si>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</si>
  <si>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</si>
  <si>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</si>
  <si>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</si>
  <si>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</si>
  <si>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</si>
  <si>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</si>
  <si>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</si>
  <si>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</si>
  <si>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</si>
  <si>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</si>
  <si>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</si>
  <si>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</si>
  <si>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</si>
  <si>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</si>
  <si>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</si>
  <si>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</si>
  <si>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</si>
  <si>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</si>
  <si>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</si>
  <si>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</si>
  <si>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</si>
  <si>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</si>
  <si>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</si>
  <si>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</si>
  <si>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</si>
  <si>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</si>
  <si>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</si>
  <si>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</si>
  <si>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</si>
  <si>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</si>
  <si>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</si>
  <si>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</si>
  <si>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</si>
  <si>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</si>
  <si>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</si>
  <si>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</si>
  <si>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</si>
  <si>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</si>
  <si>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</si>
  <si>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</si>
  <si>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</si>
  <si>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</si>
  <si>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</si>
  <si>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</si>
  <si>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</si>
  <si>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</si>
  <si>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</si>
  <si>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</si>
  <si>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</si>
  <si>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</si>
  <si>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</si>
  <si>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</si>
  <si>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</si>
  <si>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</si>
  <si>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</si>
  <si>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</si>
  <si>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</si>
  <si>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</si>
  <si>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</si>
  <si>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</si>
  <si>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</si>
  <si>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</si>
  <si>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</si>
  <si>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</si>
  <si>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</si>
  <si>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</si>
  <si>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</si>
  <si>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</si>
  <si>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</si>
  <si>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</si>
  <si>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</si>
  <si>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</si>
  <si>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</si>
  <si>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</si>
  <si>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</si>
  <si>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</si>
  <si>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</si>
  <si>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</si>
  <si>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</si>
  <si>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</si>
  <si>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</si>
  <si>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</si>
  <si>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</si>
  <si>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</si>
  <si>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</si>
  <si>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</si>
  <si>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</si>
  <si>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</si>
  <si>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</si>
  <si>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</si>
  <si>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</si>
  <si>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</si>
  <si>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</si>
  <si>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</si>
  <si>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</si>
  <si>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</si>
  <si>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</si>
  <si>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</si>
  <si>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</si>
  <si>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</si>
  <si>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</si>
  <si>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</si>
  <si>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</si>
  <si>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</si>
  <si>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</si>
  <si>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</si>
  <si>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</si>
  <si>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</si>
  <si>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</si>
  <si>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</si>
  <si>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</si>
  <si>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</si>
  <si>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</si>
  <si>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</si>
  <si>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</si>
  <si>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</si>
  <si>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</si>
  <si>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</si>
  <si>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</si>
  <si>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</si>
  <si>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</si>
  <si>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</si>
  <si>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</si>
  <si>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</si>
  <si>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</si>
  <si>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</si>
  <si>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</si>
  <si>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</si>
  <si>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</si>
  <si>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</si>
  <si>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</si>
  <si>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</si>
  <si>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</si>
  <si>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</si>
  <si>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</si>
  <si>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</si>
  <si>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</si>
  <si>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</si>
  <si>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</si>
  <si>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</si>
  <si>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</si>
  <si>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</si>
  <si>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</si>
  <si>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</si>
  <si>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</si>
  <si>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</si>
  <si>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</si>
  <si>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</si>
  <si>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</si>
  <si>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</si>
  <si>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</si>
  <si>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</si>
  <si>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</si>
  <si>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</si>
  <si>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</si>
  <si>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</si>
  <si>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</si>
  <si>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</si>
  <si>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</si>
  <si>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</si>
  <si>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</si>
  <si>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</si>
  <si>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</si>
  <si>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</si>
  <si>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</si>
  <si>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</si>
  <si>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</si>
  <si>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</si>
  <si>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</si>
  <si>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</si>
  <si>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</si>
  <si>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</si>
  <si>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</si>
  <si>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</si>
  <si>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</si>
  <si>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</si>
  <si>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</si>
  <si>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</si>
  <si>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</si>
  <si>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</si>
  <si>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</si>
  <si>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</si>
  <si>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</si>
  <si>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</si>
  <si>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</si>
  <si>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</si>
  <si>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</si>
  <si>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</si>
  <si>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</si>
  <si>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</si>
  <si>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</si>
  <si>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</si>
  <si>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</si>
  <si>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</si>
  <si>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</si>
  <si>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</si>
  <si>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</si>
  <si>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</si>
  <si>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</si>
  <si>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</si>
  <si>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</si>
  <si>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</si>
  <si>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</si>
  <si>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</si>
  <si>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</si>
  <si>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</si>
  <si>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</si>
  <si>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</si>
  <si>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</si>
  <si>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</si>
  <si>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</si>
  <si>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</si>
  <si>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</si>
  <si>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</si>
  <si>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</si>
  <si>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</si>
  <si>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</si>
  <si>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</si>
  <si>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</si>
  <si>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</si>
  <si>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</si>
  <si>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</si>
  <si>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</si>
  <si>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</si>
  <si>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</si>
  <si>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</si>
  <si>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</si>
  <si>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</si>
  <si>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</si>
  <si>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</si>
  <si>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</si>
  <si>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</si>
  <si>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</si>
  <si>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</si>
  <si>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</si>
  <si>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</si>
  <si>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</si>
  <si>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</si>
  <si>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</si>
  <si>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</si>
  <si>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</si>
  <si>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</si>
  <si>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</si>
  <si>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</si>
  <si>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</si>
  <si>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</si>
  <si>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</si>
  <si>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</si>
  <si>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</si>
  <si>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</si>
  <si>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</si>
  <si>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</si>
  <si>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</si>
  <si>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</si>
  <si>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</si>
  <si>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</si>
  <si>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</si>
  <si>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</si>
  <si>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</si>
  <si>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</si>
  <si>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</si>
  <si>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</si>
  <si>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</si>
  <si>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</si>
  <si>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</si>
  <si>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</si>
  <si>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</si>
  <si>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</si>
  <si>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</si>
  <si>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</si>
  <si>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</si>
  <si>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</si>
  <si>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</si>
  <si>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</si>
  <si>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</si>
  <si>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</si>
  <si>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</si>
  <si>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</si>
  <si>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</si>
  <si>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</si>
  <si>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</si>
  <si>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</si>
  <si>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</si>
  <si>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</si>
  <si>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</si>
  <si>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</si>
  <si>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</si>
  <si>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</si>
  <si>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</si>
  <si>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</si>
  <si>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</si>
  <si>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</si>
  <si>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</si>
  <si>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</si>
  <si>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</si>
  <si>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</si>
  <si>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</si>
  <si>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</si>
  <si>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</si>
  <si>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</si>
  <si>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</si>
  <si>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</si>
  <si>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</si>
  <si>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</si>
  <si>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</si>
  <si>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</si>
  <si>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</si>
  <si>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</si>
  <si>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</si>
  <si>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</si>
  <si>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</si>
  <si>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</si>
  <si>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</si>
  <si>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</si>
  <si>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</si>
  <si>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</si>
  <si>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</si>
  <si>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</si>
  <si>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</si>
  <si>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</si>
  <si>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</si>
  <si>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</si>
  <si>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</si>
  <si>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</si>
  <si>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</si>
  <si>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</si>
  <si>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</si>
  <si>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</si>
  <si>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</si>
  <si>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</si>
  <si>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</si>
  <si>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</si>
  <si>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</si>
  <si>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</si>
  <si>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</si>
  <si>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</si>
  <si>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</si>
  <si>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</si>
  <si>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</si>
  <si>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</si>
  <si>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</si>
  <si>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</si>
  <si>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</si>
  <si>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</si>
  <si>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</si>
  <si>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</si>
  <si>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</si>
  <si>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</si>
  <si>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</si>
  <si>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</si>
  <si>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</si>
  <si>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</si>
  <si>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</si>
  <si>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</si>
  <si>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</si>
  <si>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</si>
  <si>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</si>
  <si>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</si>
  <si>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</si>
  <si>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</si>
  <si>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</si>
  <si>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</si>
  <si>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</si>
  <si>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</si>
  <si>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</si>
  <si>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</si>
  <si>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</si>
  <si>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</si>
  <si>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</si>
  <si>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</si>
  <si>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</si>
  <si>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</si>
  <si>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</si>
  <si>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</si>
  <si>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</si>
  <si>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</si>
  <si>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</si>
  <si>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</si>
  <si>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</si>
  <si>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</si>
  <si>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</si>
  <si>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</si>
  <si>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</si>
  <si>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</si>
  <si>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</si>
  <si>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</si>
  <si>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</si>
  <si>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</si>
  <si>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</si>
  <si>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</si>
  <si>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</si>
  <si>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</si>
  <si>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</si>
  <si>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</si>
  <si>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</si>
  <si>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</si>
  <si>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</si>
  <si>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</si>
  <si>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</si>
  <si>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</si>
  <si>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</si>
  <si>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</si>
  <si>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</si>
  <si>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</si>
  <si>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</si>
  <si>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</si>
  <si>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</si>
  <si>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</si>
  <si>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</si>
  <si>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</si>
  <si>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</si>
  <si>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</si>
  <si>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</si>
  <si>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</si>
  <si>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</si>
  <si>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</si>
  <si>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</si>
  <si>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</si>
  <si>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</si>
  <si>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</si>
  <si>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</si>
  <si>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</si>
  <si>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</si>
  <si>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</si>
  <si>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</si>
  <si>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</si>
  <si>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</si>
  <si>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</si>
  <si>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</si>
  <si>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</si>
  <si>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</si>
  <si>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</si>
  <si>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</si>
  <si>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</si>
  <si>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</si>
  <si>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</si>
  <si>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</si>
  <si>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</si>
  <si>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</si>
  <si>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</si>
  <si>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</si>
  <si>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</si>
  <si>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</si>
  <si>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</si>
  <si>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</si>
  <si>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</si>
  <si>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</si>
  <si>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</si>
  <si>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</si>
  <si>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</si>
  <si>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</si>
  <si>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</si>
  <si>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</si>
  <si>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</si>
  <si>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</si>
  <si>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</si>
  <si>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</si>
  <si>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</si>
  <si>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</si>
  <si>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</si>
  <si>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</si>
  <si>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</si>
  <si>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</si>
  <si>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</si>
  <si>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</si>
  <si>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</si>
  <si>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</si>
  <si>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</si>
  <si>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</si>
  <si>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</si>
  <si>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</si>
  <si>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</si>
  <si>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</si>
  <si>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</si>
  <si>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</si>
  <si>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</si>
  <si>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</si>
  <si>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</si>
  <si>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</si>
  <si>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</si>
  <si>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</si>
  <si>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</si>
  <si>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</si>
  <si>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</si>
  <si>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</si>
  <si>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</si>
  <si>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</si>
  <si>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</si>
  <si>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</si>
  <si>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</si>
  <si>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</si>
  <si>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</si>
  <si>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</si>
  <si>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</si>
  <si>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</si>
  <si>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</si>
  <si>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</si>
  <si>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</si>
  <si>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</si>
  <si>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</si>
  <si>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</si>
  <si>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</si>
  <si>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</si>
  <si>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</si>
  <si>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</si>
  <si>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</si>
  <si>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</si>
  <si>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</si>
  <si>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</si>
  <si>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</si>
  <si>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</si>
  <si>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</si>
  <si>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</si>
  <si>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</si>
  <si>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</si>
  <si>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</si>
  <si>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</si>
  <si>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</si>
  <si>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</si>
  <si>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</si>
  <si>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</si>
  <si>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</si>
  <si>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</si>
  <si>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</si>
  <si>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</si>
  <si>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</si>
  <si>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</si>
  <si>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</si>
  <si>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</si>
  <si>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</si>
  <si>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</si>
  <si>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</si>
  <si>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</si>
  <si>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</si>
  <si>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</si>
  <si>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</si>
  <si>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</si>
  <si>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</si>
  <si>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</si>
  <si>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</si>
  <si>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</si>
  <si>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</si>
  <si>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</si>
  <si>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</si>
  <si>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</si>
  <si>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</si>
  <si>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</si>
  <si>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</si>
  <si>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</si>
  <si>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</si>
  <si>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</si>
  <si>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</si>
  <si>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</si>
  <si>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</si>
  <si>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</si>
  <si>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</si>
  <si>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</si>
  <si>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</si>
  <si>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</si>
  <si>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</si>
  <si>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</si>
  <si>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</si>
  <si>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</si>
  <si>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</si>
  <si>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</si>
  <si>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</si>
  <si>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</si>
  <si>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</si>
  <si>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</si>
  <si>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</si>
  <si>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</si>
  <si>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</si>
  <si>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</si>
  <si>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</si>
  <si>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</si>
  <si>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</si>
  <si>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</si>
  <si>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</si>
  <si>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</si>
  <si>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</si>
  <si>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</si>
  <si>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</si>
  <si>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</si>
  <si>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</si>
  <si>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</si>
  <si>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</si>
  <si>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</si>
  <si>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</si>
  <si>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</si>
  <si>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</si>
  <si>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</si>
  <si>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</si>
  <si>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</si>
  <si>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</si>
  <si>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</si>
  <si>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</si>
  <si>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</si>
  <si>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</si>
  <si>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</si>
  <si>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</si>
  <si>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</si>
  <si>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</si>
  <si>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</si>
  <si>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</si>
  <si>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</si>
  <si>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</si>
  <si>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</si>
  <si>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</si>
  <si>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</si>
  <si>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</si>
  <si>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</si>
  <si>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</si>
  <si>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</si>
  <si>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</si>
  <si>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</si>
  <si>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</si>
  <si>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</si>
  <si>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</si>
  <si>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</si>
  <si>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</si>
  <si>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</si>
  <si>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</si>
  <si>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</si>
  <si>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</si>
  <si>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</si>
  <si>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</si>
  <si>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</si>
  <si>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</si>
  <si>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</si>
  <si>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</si>
  <si>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</si>
  <si>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</si>
  <si>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</si>
  <si>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</si>
  <si>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</si>
  <si>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</si>
  <si>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</si>
  <si>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</si>
  <si>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</si>
  <si>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</si>
  <si>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</si>
  <si>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</si>
  <si>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</si>
  <si>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</si>
  <si>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</si>
  <si>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</si>
  <si>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</si>
  <si>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</si>
  <si>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</si>
  <si>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</si>
  <si>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</si>
  <si>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</si>
  <si>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</si>
  <si>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</si>
  <si>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</si>
  <si>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</si>
  <si>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</si>
  <si>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</si>
  <si>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</si>
  <si>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</si>
  <si>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</si>
  <si>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</si>
  <si>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</si>
  <si>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</si>
  <si>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</si>
  <si>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</si>
  <si>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</si>
  <si>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</si>
  <si>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</si>
  <si>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</si>
  <si>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</si>
  <si>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</si>
  <si>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</si>
  <si>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</si>
  <si>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</si>
  <si>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</si>
  <si>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</si>
  <si>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</si>
  <si>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</si>
  <si>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</si>
  <si>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</si>
  <si>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</si>
  <si>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</si>
  <si>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</si>
  <si>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</si>
  <si>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</si>
  <si>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</si>
  <si>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</si>
  <si>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</si>
  <si>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</si>
  <si>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</si>
  <si>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</si>
  <si>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</si>
  <si>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</si>
  <si>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</si>
  <si>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</si>
  <si>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</si>
  <si>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</si>
  <si>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</si>
  <si>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</si>
  <si>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</si>
  <si>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</si>
  <si>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</si>
  <si>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</si>
  <si>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</si>
  <si>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</si>
  <si>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</si>
  <si>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</si>
  <si>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</si>
  <si>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</si>
  <si>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</si>
  <si>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</si>
  <si>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</si>
  <si>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</si>
  <si>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</si>
  <si>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</si>
  <si>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</si>
  <si>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</si>
  <si>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</si>
  <si>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</si>
  <si>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</si>
  <si>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</si>
  <si>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</si>
  <si>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</si>
  <si>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</si>
  <si>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</si>
  <si>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</si>
  <si>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</si>
  <si>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</si>
  <si>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</si>
  <si>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</si>
  <si>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</si>
  <si>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</si>
  <si>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</si>
  <si>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</si>
  <si>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</si>
  <si>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</si>
  <si>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</si>
  <si>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</si>
  <si>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</si>
  <si>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</si>
  <si>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</si>
  <si>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</si>
  <si>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</si>
  <si>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</si>
  <si>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</si>
  <si>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</si>
  <si>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</si>
  <si>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</si>
  <si>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</si>
  <si>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</si>
  <si>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</si>
  <si>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</si>
  <si>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</si>
  <si>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</si>
  <si>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</si>
  <si>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</si>
  <si>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</si>
  <si>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</si>
  <si>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</si>
  <si>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</si>
  <si>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</si>
  <si>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</si>
  <si>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</si>
  <si>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</si>
  <si>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</si>
  <si>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</si>
  <si>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</si>
  <si>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</si>
  <si>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</si>
  <si>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</si>
  <si>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</si>
  <si>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</si>
  <si>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</si>
  <si>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</si>
  <si>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</si>
  <si>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</si>
  <si>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</si>
  <si>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</si>
  <si>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</si>
  <si>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</si>
  <si>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</si>
  <si>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</si>
  <si>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</si>
  <si>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</si>
  <si>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</si>
  <si>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</si>
  <si>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</si>
  <si>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</si>
  <si>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</si>
  <si>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</si>
  <si>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</si>
  <si>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</si>
  <si>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</si>
  <si>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</si>
  <si>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</si>
  <si>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</si>
  <si>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</si>
  <si>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</si>
  <si>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</si>
  <si>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</si>
  <si>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</si>
  <si>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</si>
  <si>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</si>
  <si>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</si>
  <si>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</si>
  <si>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</si>
  <si>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</si>
  <si>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</si>
  <si>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</si>
  <si>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</si>
  <si>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</si>
  <si>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</si>
  <si>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</si>
  <si>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</si>
  <si>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</si>
  <si>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</si>
  <si>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</si>
  <si>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</si>
  <si>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</si>
  <si>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</si>
  <si>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</si>
  <si>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</si>
  <si>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</si>
  <si>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</si>
  <si>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</si>
  <si>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</si>
  <si>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</si>
  <si>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</si>
  <si>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</si>
  <si>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</si>
  <si>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</si>
  <si>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</si>
  <si>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</si>
  <si>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</si>
  <si>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</si>
  <si>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</si>
  <si>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</si>
  <si>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</si>
  <si>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</si>
  <si>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</si>
  <si>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</si>
  <si>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</si>
  <si>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</si>
  <si>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</si>
  <si>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</si>
  <si>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</si>
  <si>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</si>
  <si>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</si>
  <si>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</si>
  <si>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</si>
  <si>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</si>
  <si>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</si>
  <si>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</si>
  <si>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</si>
  <si>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</si>
  <si>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</si>
  <si>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</si>
  <si>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</si>
  <si>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</si>
  <si>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</si>
  <si>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</si>
  <si>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</si>
  <si>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</si>
  <si>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</si>
  <si>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</si>
  <si>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</si>
  <si>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</si>
  <si>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</si>
  <si>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</si>
  <si>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</si>
  <si>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</si>
  <si>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</si>
  <si>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</si>
  <si>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</si>
  <si>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</si>
  <si>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</si>
  <si>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</si>
  <si>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</si>
  <si>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</si>
  <si>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</si>
  <si>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</si>
  <si>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</si>
  <si>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</si>
  <si>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</si>
  <si>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</si>
  <si>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</si>
  <si>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</si>
  <si>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</si>
  <si>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</si>
  <si>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</si>
  <si>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</si>
  <si>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</si>
  <si>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</si>
  <si>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</si>
  <si>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</si>
  <si>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</si>
  <si>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</si>
  <si>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</si>
  <si>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</si>
  <si>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</si>
  <si>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</si>
  <si>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</si>
  <si>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</si>
  <si>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</si>
  <si>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</si>
  <si>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</si>
  <si>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</si>
  <si>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</si>
  <si>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</si>
  <si>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</si>
  <si>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</si>
  <si>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</si>
  <si>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</si>
  <si>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</si>
  <si>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</si>
  <si>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</si>
  <si>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</si>
  <si>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</si>
  <si>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</si>
  <si>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</si>
  <si>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</si>
  <si>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</si>
  <si>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</si>
  <si>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</si>
  <si>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</si>
  <si>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</si>
  <si>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</si>
  <si>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</si>
  <si>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</si>
  <si>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</si>
  <si>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</si>
  <si>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</si>
  <si>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</si>
  <si>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</si>
  <si>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</si>
  <si>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</si>
  <si>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</si>
  <si>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</si>
  <si>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</si>
  <si>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</si>
  <si>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</si>
  <si>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</si>
  <si>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</si>
  <si>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</si>
  <si>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</si>
  <si>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</si>
  <si>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</si>
  <si>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</si>
  <si>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</si>
  <si>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</si>
  <si>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</si>
  <si>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</si>
  <si>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</si>
  <si>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</si>
  <si>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</si>
  <si>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</si>
  <si>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</si>
  <si>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</si>
  <si>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</si>
  <si>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</si>
  <si>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</si>
  <si>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</si>
  <si>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</si>
  <si>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</si>
  <si>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</si>
  <si>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</si>
  <si>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</si>
  <si>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</si>
  <si>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</si>
  <si>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</si>
  <si>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</si>
  <si>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</si>
  <si>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</si>
  <si>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</si>
  <si>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</si>
  <si>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</si>
  <si>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</si>
  <si>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</si>
  <si>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</si>
  <si>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</si>
  <si>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</si>
  <si>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</si>
  <si>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</si>
  <si>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</si>
  <si>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</si>
  <si>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</si>
  <si>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</si>
  <si>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</si>
  <si>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</si>
  <si>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</si>
  <si>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</si>
  <si>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</si>
  <si>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</si>
  <si>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</si>
  <si>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</si>
  <si>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</si>
  <si>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</si>
  <si>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</si>
  <si>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</si>
  <si>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</si>
  <si>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</si>
  <si>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</si>
  <si>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</si>
  <si>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</si>
  <si>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</si>
  <si>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</si>
  <si>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</si>
  <si>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</si>
  <si>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</si>
  <si>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</si>
  <si>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</si>
  <si>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</si>
  <si>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</si>
  <si>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</si>
  <si>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</si>
  <si>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</si>
  <si>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</si>
  <si>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</si>
  <si>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</si>
  <si>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</si>
  <si>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</si>
  <si>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</si>
  <si>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</si>
  <si>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</si>
  <si>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</si>
  <si>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</si>
  <si>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</si>
  <si>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</si>
  <si>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</si>
  <si>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</si>
  <si>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</si>
  <si>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</si>
  <si>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</si>
  <si>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</si>
  <si>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</si>
  <si>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</si>
  <si>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</si>
  <si>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</si>
  <si>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</si>
  <si>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</si>
  <si>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</si>
  <si>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</si>
  <si>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</si>
  <si>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</si>
  <si>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</si>
  <si>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</si>
  <si>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</si>
  <si>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</si>
  <si>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</si>
  <si>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</si>
  <si>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</si>
  <si>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</si>
  <si>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</si>
  <si>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</si>
  <si>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</si>
  <si>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</si>
  <si>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</si>
  <si>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</si>
  <si>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</si>
  <si>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</si>
  <si>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</si>
  <si>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</si>
  <si>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</si>
  <si>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</si>
  <si>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</si>
  <si>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</si>
  <si>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</si>
  <si>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</si>
  <si>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</si>
  <si>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</si>
  <si>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</si>
  <si>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</si>
  <si>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</si>
  <si>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</si>
  <si>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</si>
  <si>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</si>
  <si>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</si>
  <si>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</si>
  <si>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</si>
  <si>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</si>
  <si>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</si>
  <si>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</si>
  <si>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</si>
  <si>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</si>
  <si>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</si>
  <si>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</si>
  <si>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</si>
  <si>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</si>
  <si>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</si>
  <si>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</si>
  <si>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</si>
  <si>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</si>
  <si>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</si>
  <si>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</si>
  <si>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</si>
  <si>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</si>
  <si>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</si>
  <si>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</si>
  <si>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</si>
  <si>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</si>
  <si>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</si>
  <si>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</si>
  <si>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</si>
  <si>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</si>
  <si>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</si>
  <si>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</si>
  <si>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</si>
  <si>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</si>
  <si>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</si>
  <si>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</si>
  <si>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</si>
  <si>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</si>
  <si>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</si>
  <si>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</si>
  <si>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</si>
  <si>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</si>
  <si>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</si>
  <si>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</si>
  <si>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</si>
  <si>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</si>
  <si>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</si>
  <si>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</si>
  <si>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</si>
  <si>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</si>
  <si>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</si>
  <si>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</si>
  <si>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</si>
  <si>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</si>
  <si>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</si>
  <si>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</si>
  <si>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</si>
  <si>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</si>
  <si>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</si>
  <si>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</si>
  <si>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</si>
  <si>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</si>
  <si>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</si>
  <si>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</si>
  <si>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</si>
  <si>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</si>
  <si>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</si>
  <si>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</si>
  <si>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</si>
  <si>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</si>
  <si>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</si>
  <si>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</si>
  <si>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</si>
  <si>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</si>
  <si>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</si>
  <si>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</si>
  <si>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</si>
  <si>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</si>
  <si>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</si>
  <si>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</si>
  <si>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</si>
  <si>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</si>
  <si>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</si>
  <si>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</si>
  <si>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</si>
  <si>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</si>
  <si>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</si>
  <si>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</si>
  <si>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</si>
  <si>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</si>
  <si>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</si>
  <si>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</si>
  <si>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</si>
  <si>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</si>
  <si>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</si>
  <si>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</si>
  <si>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</si>
  <si>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</si>
  <si>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</si>
  <si>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</si>
  <si>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</si>
  <si>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</si>
  <si>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</si>
  <si>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</si>
  <si>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</si>
  <si>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</si>
  <si>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</si>
  <si>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</si>
  <si>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</si>
  <si>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</si>
  <si>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</si>
  <si>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</si>
  <si>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</si>
  <si>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</si>
  <si>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</si>
  <si>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</si>
  <si>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</si>
  <si>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</si>
  <si>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</si>
  <si>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</si>
  <si>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</si>
  <si>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</si>
  <si>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</si>
  <si>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</si>
  <si>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</si>
  <si>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</si>
  <si>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</si>
  <si>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</si>
  <si>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</si>
  <si>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</si>
  <si>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</si>
  <si>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</si>
  <si>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</si>
  <si>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</si>
  <si>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</si>
  <si>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</si>
  <si>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</si>
  <si>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</si>
  <si>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</si>
  <si>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</si>
  <si>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</si>
  <si>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</si>
  <si>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</si>
  <si>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</si>
  <si>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</si>
  <si>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</si>
  <si>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</si>
  <si>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</si>
  <si>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</si>
  <si>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</si>
  <si>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</si>
  <si>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</si>
  <si>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</si>
  <si>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</si>
  <si>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</si>
  <si>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</si>
  <si>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</si>
  <si>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</si>
  <si>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</si>
  <si>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</si>
  <si>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</si>
  <si>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</si>
  <si>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</si>
  <si>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</si>
  <si>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</si>
  <si>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</si>
  <si>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</si>
  <si>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</si>
  <si>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</si>
  <si>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</si>
  <si>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</si>
  <si>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</si>
  <si>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</si>
  <si>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</si>
  <si>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</si>
  <si>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</si>
  <si>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</si>
  <si>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</si>
  <si>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</si>
  <si>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</si>
  <si>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</si>
  <si>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</si>
  <si>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</si>
  <si>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</si>
  <si>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</si>
  <si>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</si>
  <si>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</si>
  <si>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</si>
  <si>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</si>
  <si>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</si>
  <si>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</si>
  <si>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</si>
  <si>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</si>
  <si>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</si>
  <si>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</si>
  <si>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</si>
  <si>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</si>
  <si>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</si>
  <si>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</si>
  <si>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</si>
  <si>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</si>
  <si>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</si>
  <si>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</si>
  <si>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</si>
  <si>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</si>
  <si>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</si>
  <si>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</si>
  <si>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</si>
  <si>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</si>
  <si>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</si>
  <si>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</si>
  <si>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</si>
  <si>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</si>
  <si>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</si>
  <si>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</si>
  <si>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</si>
  <si>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</si>
  <si>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</si>
  <si>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</si>
  <si>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</si>
  <si>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</si>
  <si>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</si>
  <si>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</si>
  <si>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</si>
  <si>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</si>
  <si>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</si>
  <si>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</si>
  <si>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</si>
  <si>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</si>
  <si>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</si>
  <si>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</si>
  <si>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</si>
  <si>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</si>
  <si>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</si>
  <si>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</si>
  <si>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</si>
  <si>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</si>
  <si>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</si>
  <si>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</si>
  <si>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</si>
  <si>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</si>
  <si>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</si>
  <si>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</si>
  <si>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</si>
  <si>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</si>
  <si>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</si>
  <si>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</si>
  <si>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</si>
  <si>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</si>
  <si>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</si>
  <si>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</si>
  <si>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</si>
  <si>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</si>
  <si>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</si>
  <si>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</si>
  <si>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</si>
  <si>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</si>
  <si>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</si>
  <si>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</si>
  <si>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</si>
  <si>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</si>
  <si>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</si>
  <si>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</si>
  <si>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</si>
  <si>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</si>
  <si>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</si>
  <si>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</si>
  <si>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</si>
  <si>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</si>
  <si>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</si>
  <si>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</si>
  <si>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</si>
  <si>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</si>
  <si>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</si>
  <si>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</si>
  <si>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</si>
  <si>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</si>
  <si>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</si>
  <si>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</si>
  <si>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</si>
  <si>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</si>
  <si>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</si>
  <si>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</si>
  <si>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</si>
  <si>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</si>
  <si>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</si>
  <si>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</si>
  <si>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</si>
  <si>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</si>
  <si>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</si>
  <si>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</si>
  <si>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</si>
  <si>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</si>
  <si>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</si>
  <si>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</si>
  <si>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</si>
  <si>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</si>
  <si>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</si>
  <si>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</si>
  <si>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</si>
  <si>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</si>
  <si>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</si>
  <si>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</si>
  <si>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</si>
  <si>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</si>
  <si>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</si>
  <si>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</si>
  <si>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</si>
  <si>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</si>
  <si>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</si>
  <si>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</si>
  <si>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</si>
  <si>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</si>
  <si>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</si>
  <si>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</si>
  <si>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</si>
  <si>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</si>
  <si>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</si>
  <si>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</si>
  <si>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</si>
  <si>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</si>
  <si>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</si>
  <si>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</si>
  <si>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</si>
  <si>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</si>
  <si>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</si>
  <si>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</si>
  <si>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</si>
  <si>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</si>
  <si>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</si>
  <si>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</si>
  <si>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</si>
  <si>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</si>
  <si>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</si>
  <si>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</si>
  <si>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</si>
  <si>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</si>
  <si>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</si>
  <si>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</si>
  <si>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</si>
  <si>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</si>
  <si>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</si>
  <si>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</si>
  <si>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</si>
  <si>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</si>
  <si>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</si>
  <si>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</si>
  <si>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</si>
  <si>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</si>
  <si>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</si>
  <si>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</si>
  <si>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</si>
  <si>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</si>
  <si>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</si>
  <si>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</si>
  <si>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</si>
  <si>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</si>
  <si>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</si>
  <si>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</si>
  <si>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</si>
  <si>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</si>
  <si>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</si>
  <si>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</si>
  <si>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</si>
  <si>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</si>
  <si>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</si>
  <si>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</si>
  <si>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</si>
  <si>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</si>
  <si>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</si>
  <si>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</si>
  <si>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</si>
  <si>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</si>
  <si>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</si>
  <si>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</si>
  <si>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</si>
  <si>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</si>
  <si>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</si>
  <si>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</si>
  <si>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</si>
  <si>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</si>
  <si>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</si>
  <si>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</si>
  <si>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</si>
  <si>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</si>
  <si>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</si>
  <si>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</si>
  <si>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</si>
  <si>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</si>
  <si>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</si>
  <si>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</si>
  <si>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</si>
  <si>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</si>
  <si>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</si>
  <si>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</si>
  <si>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</si>
  <si>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</si>
  <si>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</si>
  <si>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</si>
  <si>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</si>
  <si>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</si>
  <si>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</si>
  <si>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</si>
  <si>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</si>
  <si>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</si>
  <si>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</si>
  <si>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</si>
  <si>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</si>
  <si>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</si>
  <si>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</si>
  <si>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</si>
  <si>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</si>
  <si>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</si>
  <si>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</si>
  <si>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</si>
  <si>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</si>
  <si>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</si>
  <si>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</si>
  <si>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</si>
  <si>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</si>
  <si>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</si>
  <si>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</si>
  <si>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</si>
  <si>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</si>
  <si>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</si>
  <si>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</si>
  <si>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</si>
  <si>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</si>
  <si>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</si>
  <si>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</si>
  <si>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</si>
  <si>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</si>
  <si>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</si>
  <si>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</si>
  <si>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</si>
  <si>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</si>
  <si>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</si>
  <si>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</si>
  <si>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</si>
  <si>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</si>
  <si>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</si>
  <si>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</si>
  <si>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</si>
  <si>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</si>
  <si>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</si>
  <si>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</si>
  <si>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</si>
  <si>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</si>
  <si>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</si>
  <si>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</si>
  <si>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</si>
  <si>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</si>
  <si>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</si>
  <si>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</si>
  <si>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</si>
  <si>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</si>
  <si>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</si>
  <si>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</si>
  <si>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</si>
  <si>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</si>
  <si>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</si>
  <si>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</si>
  <si>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</si>
  <si>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</si>
  <si>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</si>
  <si>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</si>
  <si>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</si>
  <si>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</si>
  <si>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</si>
  <si>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</si>
  <si>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</si>
  <si>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</si>
  <si>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</si>
  <si>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</si>
  <si>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</si>
  <si>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</si>
  <si>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</si>
  <si>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</si>
  <si>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</si>
  <si>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</si>
  <si>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</si>
  <si>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</si>
  <si>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</si>
  <si>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</si>
  <si>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</si>
  <si>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</si>
  <si>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</si>
  <si>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</si>
  <si>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</si>
  <si>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</si>
  <si>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</si>
  <si>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</si>
  <si>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</si>
  <si>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</si>
  <si>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</si>
  <si>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</si>
  <si>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</si>
  <si>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</si>
  <si>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</si>
  <si>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</si>
  <si>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</si>
  <si>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</si>
  <si>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</si>
  <si>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</si>
  <si>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</si>
  <si>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</si>
  <si>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</si>
  <si>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</si>
  <si>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</si>
  <si>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</si>
  <si>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</si>
  <si>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</si>
  <si>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</si>
  <si>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</si>
  <si>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</si>
  <si>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</si>
  <si>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</si>
  <si>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</si>
  <si>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</si>
  <si>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</si>
  <si>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</si>
  <si>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</si>
  <si>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</si>
  <si>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</si>
  <si>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</si>
  <si>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</si>
  <si>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</si>
  <si>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</si>
  <si>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</si>
  <si>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</si>
  <si>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</si>
  <si>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</si>
  <si>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</si>
  <si>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</si>
  <si>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</si>
  <si>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</si>
  <si>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</si>
  <si>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</si>
  <si>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</si>
  <si>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</si>
  <si>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</si>
  <si>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</si>
  <si>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</si>
  <si>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</si>
  <si>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</si>
  <si>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</si>
  <si>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</si>
  <si>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</si>
  <si>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</si>
  <si>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</si>
  <si>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</si>
  <si>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</si>
  <si>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</si>
  <si>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</si>
  <si>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</si>
  <si>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</si>
  <si>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</si>
  <si>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</si>
  <si>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</si>
  <si>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</si>
  <si>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</si>
  <si>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</si>
  <si>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</si>
  <si>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</si>
  <si>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</si>
  <si>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</si>
  <si>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</si>
  <si>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</si>
  <si>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</si>
  <si>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</si>
  <si>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</si>
  <si>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</si>
  <si>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</si>
  <si>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</si>
  <si>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</si>
  <si>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</si>
  <si>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</si>
  <si>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</si>
  <si>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</si>
  <si>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</si>
  <si>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</si>
  <si>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</si>
  <si>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</si>
  <si>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</si>
  <si>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</si>
  <si>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</si>
  <si>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</si>
  <si>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</si>
  <si>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</si>
  <si>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</si>
  <si>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</si>
  <si>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</si>
  <si>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</si>
  <si>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</si>
  <si>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</si>
  <si>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</si>
  <si>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</si>
  <si>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</si>
  <si>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</si>
  <si>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</si>
  <si>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</si>
  <si>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</si>
  <si>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</si>
  <si>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</si>
  <si>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</si>
  <si>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</si>
  <si>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</si>
  <si>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</si>
  <si>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</si>
  <si>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</si>
  <si>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</si>
  <si>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</si>
  <si>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</si>
  <si>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</si>
  <si>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</si>
  <si>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</si>
  <si>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</si>
  <si>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</si>
  <si>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</si>
  <si>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</si>
  <si>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</si>
  <si>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</si>
  <si>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</si>
  <si>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</si>
  <si>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</si>
  <si>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</si>
  <si>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</si>
  <si>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</si>
  <si>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</si>
  <si>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</si>
  <si>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</si>
  <si>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</si>
  <si>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</si>
  <si>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</si>
  <si>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</si>
  <si>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</si>
  <si>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</si>
  <si>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</si>
  <si>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</si>
  <si>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</si>
  <si>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</si>
  <si>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</si>
  <si>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</si>
  <si>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</si>
  <si>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</si>
  <si>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</si>
  <si>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</si>
  <si>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</si>
  <si>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</si>
  <si>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</si>
  <si>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</si>
  <si>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</si>
  <si>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</si>
  <si>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</si>
  <si>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</si>
  <si>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</si>
  <si>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</si>
  <si>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</si>
  <si>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</si>
  <si>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</si>
  <si>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</si>
  <si>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</si>
  <si>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</si>
  <si>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</si>
  <si>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</si>
  <si>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</si>
  <si>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</si>
  <si>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</si>
  <si>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</si>
  <si>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</si>
  <si>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</si>
  <si>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</si>
  <si>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</si>
  <si>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</si>
  <si>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</si>
  <si>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</si>
  <si>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</si>
  <si>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</si>
  <si>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</si>
  <si>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</si>
  <si>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</si>
  <si>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</si>
  <si>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</si>
  <si>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</si>
  <si>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</si>
  <si>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</si>
  <si>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</si>
  <si>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</si>
  <si>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</si>
  <si>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</si>
  <si>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</si>
  <si>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</si>
  <si>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</si>
  <si>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</si>
  <si>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</si>
  <si>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</si>
  <si>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</si>
  <si>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</si>
  <si>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</si>
  <si>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</si>
  <si>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</si>
  <si>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</si>
  <si>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</si>
  <si>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</si>
  <si>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</si>
  <si>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</si>
  <si>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</si>
  <si>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</si>
  <si>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</si>
  <si>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</si>
  <si>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</si>
  <si>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</si>
  <si>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</si>
  <si>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</si>
  <si>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</si>
  <si>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</si>
  <si>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</si>
  <si>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</si>
  <si>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</si>
  <si>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</si>
  <si>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</si>
  <si>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</si>
  <si>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</si>
  <si>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</si>
  <si>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</si>
  <si>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</si>
  <si>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</si>
  <si>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</si>
  <si>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</si>
  <si>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</si>
  <si>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</si>
  <si>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</si>
  <si>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</si>
  <si>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</si>
  <si>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</si>
  <si>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</si>
  <si>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</si>
  <si>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</si>
  <si>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</si>
  <si>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</si>
  <si>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</si>
  <si>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</si>
  <si>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</si>
  <si>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</si>
  <si>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</si>
  <si>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</si>
  <si>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</si>
  <si>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</si>
  <si>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</si>
  <si>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</si>
  <si>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</si>
  <si>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</si>
  <si>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</si>
  <si>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</si>
  <si>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</si>
  <si>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</si>
  <si>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</si>
  <si>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</si>
  <si>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</si>
  <si>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</si>
  <si>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</si>
  <si>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</si>
  <si>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</si>
  <si>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</si>
  <si>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</si>
  <si>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</si>
  <si>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</si>
  <si>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</si>
  <si>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</si>
  <si>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</si>
  <si>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</si>
  <si>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</si>
  <si>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</si>
  <si>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</si>
  <si>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</si>
  <si>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</si>
  <si>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</si>
  <si>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</si>
  <si>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</si>
  <si>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</si>
  <si>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</si>
  <si>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</si>
  <si>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</si>
  <si>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</si>
  <si>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</si>
  <si>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</si>
  <si>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</si>
  <si>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</si>
  <si>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</si>
  <si>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</si>
  <si>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</si>
  <si>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</si>
  <si>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</si>
  <si>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</si>
  <si>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</si>
  <si>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</si>
  <si>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</si>
  <si>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</si>
  <si>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</si>
  <si>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</si>
  <si>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</si>
  <si>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</si>
  <si>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</si>
  <si>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</si>
  <si>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</si>
  <si>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</si>
  <si>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</si>
  <si>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</si>
  <si>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</si>
  <si>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</si>
  <si>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</si>
  <si>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</si>
  <si>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</si>
  <si>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</si>
  <si>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</si>
  <si>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</si>
  <si>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</si>
  <si>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</si>
  <si>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</si>
  <si>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</si>
  <si>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</si>
  <si>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</si>
  <si>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</si>
  <si>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</si>
  <si>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</si>
  <si>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</si>
  <si>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</si>
  <si>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</si>
  <si>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</si>
  <si>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</si>
  <si>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</si>
  <si>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</si>
  <si>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</si>
  <si>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</si>
  <si>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</si>
  <si>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</si>
  <si>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</si>
  <si>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</si>
  <si>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</si>
  <si>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</si>
  <si>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</si>
  <si>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</si>
  <si>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</si>
  <si>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</si>
  <si>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</si>
  <si>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</si>
  <si>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</si>
  <si>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</si>
  <si>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</si>
  <si>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</si>
  <si>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</si>
  <si>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</si>
  <si>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</si>
  <si>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</si>
  <si>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</si>
  <si>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</si>
  <si>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</si>
  <si>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</si>
  <si>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</si>
  <si>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</si>
  <si>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</si>
  <si>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</si>
  <si>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</si>
  <si>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</si>
  <si>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</si>
  <si>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</si>
  <si>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</si>
  <si>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</si>
  <si>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</si>
  <si>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</si>
  <si>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</si>
  <si>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</si>
  <si>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</si>
  <si>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</si>
  <si>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</si>
  <si>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</si>
  <si>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</si>
  <si>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</si>
  <si>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</si>
  <si>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</si>
  <si>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</si>
  <si>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</si>
  <si>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</si>
  <si>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</si>
  <si>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</si>
  <si>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</si>
  <si>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</si>
  <si>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</si>
  <si>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</si>
  <si>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</si>
  <si>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</si>
  <si>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</si>
  <si>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</si>
  <si>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</si>
  <si>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</si>
  <si>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</si>
  <si>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</si>
  <si>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</si>
  <si>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</si>
  <si>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</si>
  <si>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</si>
  <si>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</si>
  <si>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</si>
  <si>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</si>
  <si>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</si>
  <si>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</si>
  <si>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</si>
  <si>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</si>
  <si>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</si>
  <si>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</si>
  <si>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</si>
  <si>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</si>
  <si>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</si>
  <si>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</si>
  <si>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</si>
  <si>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</si>
  <si>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</si>
  <si>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</si>
  <si>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</si>
  <si>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</si>
  <si>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</si>
  <si>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</si>
  <si>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</si>
  <si>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</si>
  <si>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</si>
  <si>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</si>
  <si>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</si>
  <si>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</si>
  <si>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</si>
  <si>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</si>
  <si>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</si>
  <si>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</si>
  <si>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</si>
  <si>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</si>
  <si>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</si>
  <si>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</si>
  <si>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</si>
  <si>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</si>
  <si>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</si>
  <si>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</si>
  <si>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</si>
  <si>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</si>
  <si>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</si>
  <si>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</si>
  <si>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</si>
  <si>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</si>
  <si>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</si>
  <si>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</si>
  <si>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</si>
  <si>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</si>
  <si>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</si>
  <si>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</si>
  <si>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</si>
  <si>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</si>
  <si>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</si>
  <si>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</si>
  <si>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</si>
  <si>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</si>
  <si>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</si>
  <si>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</si>
  <si>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</si>
  <si>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</si>
  <si>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</si>
  <si>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</si>
  <si>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</si>
  <si>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</si>
  <si>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</si>
  <si>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</si>
  <si>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</si>
  <si>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</si>
  <si>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</si>
  <si>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</si>
  <si>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</si>
  <si>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</si>
  <si>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</si>
  <si>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</si>
  <si>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</si>
  <si>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</si>
  <si>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</si>
  <si>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</si>
  <si>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</si>
  <si>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</si>
  <si>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</si>
  <si>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</si>
  <si>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</si>
  <si>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</si>
  <si>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</si>
  <si>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</si>
  <si>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</si>
  <si>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</si>
  <si>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</si>
  <si>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</si>
  <si>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</si>
  <si>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</si>
  <si>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</si>
  <si>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</si>
  <si>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</si>
  <si>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</si>
  <si>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</si>
  <si>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</si>
  <si>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</si>
  <si>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</si>
  <si>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</si>
  <si>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</si>
  <si>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</si>
  <si>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</si>
  <si>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</si>
  <si>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</si>
  <si>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</si>
  <si>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</si>
  <si>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</si>
  <si>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</si>
  <si>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</si>
  <si>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</si>
  <si>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</si>
  <si>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</si>
  <si>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</si>
  <si>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</si>
  <si>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</si>
  <si>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</si>
  <si>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</si>
  <si>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</si>
  <si>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</si>
  <si>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</si>
  <si>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</si>
  <si>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</si>
  <si>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</si>
  <si>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</si>
  <si>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</si>
  <si>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</si>
  <si>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</si>
  <si>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</si>
  <si>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</si>
  <si>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</si>
  <si>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</si>
  <si>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</si>
  <si>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</si>
  <si>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</si>
  <si>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</si>
  <si>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</si>
  <si>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</si>
  <si>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</si>
  <si>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</si>
  <si>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</si>
  <si>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</si>
  <si>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</si>
  <si>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</si>
  <si>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</si>
  <si>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</si>
  <si>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</si>
  <si>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</si>
  <si>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</si>
  <si>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</si>
  <si>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</si>
  <si>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</si>
  <si>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</si>
  <si>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</si>
  <si>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</si>
  <si>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</si>
  <si>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</si>
  <si>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</si>
  <si>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</si>
  <si>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</si>
  <si>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</si>
  <si>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</si>
  <si>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</si>
  <si>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</si>
  <si>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</si>
  <si>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</si>
  <si>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</si>
  <si>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</si>
  <si>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</si>
  <si>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</si>
  <si>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</si>
  <si>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</si>
  <si>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</si>
  <si>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</si>
  <si>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</si>
  <si>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</si>
  <si>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</si>
  <si>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</si>
  <si>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</si>
  <si>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</si>
  <si>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</si>
  <si>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</si>
  <si>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</si>
  <si>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</si>
  <si>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</si>
  <si>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</si>
  <si>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</si>
  <si>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</si>
  <si>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</si>
  <si>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</si>
  <si>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</si>
  <si>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</si>
  <si>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</si>
  <si>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</si>
  <si>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</si>
  <si>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</si>
  <si>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</si>
  <si>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</si>
  <si>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</si>
  <si>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</si>
  <si>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</si>
  <si>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</si>
  <si>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</si>
  <si>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</si>
  <si>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</si>
  <si>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</si>
  <si>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</si>
  <si>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</si>
  <si>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</si>
  <si>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</si>
  <si>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</si>
  <si>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</si>
  <si>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</si>
  <si>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</si>
  <si>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</si>
  <si>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</si>
  <si>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</si>
  <si>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</si>
  <si>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</si>
  <si>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</si>
  <si>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</si>
  <si>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</si>
  <si>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</si>
  <si>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</si>
  <si>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</si>
  <si>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</si>
  <si>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</si>
  <si>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</si>
  <si>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</si>
  <si>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</si>
  <si>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</si>
  <si>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</si>
  <si>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</si>
  <si>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</si>
  <si>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</si>
  <si>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</si>
  <si>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</si>
  <si>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</si>
  <si>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</si>
  <si>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</si>
  <si>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</si>
  <si>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</si>
  <si>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</si>
  <si>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</si>
  <si>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</si>
  <si>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</si>
  <si>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</si>
  <si>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</si>
  <si>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</si>
  <si>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</si>
  <si>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</si>
  <si>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</si>
  <si>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</si>
  <si>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</si>
  <si>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</si>
  <si>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</si>
  <si>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</si>
  <si>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</si>
  <si>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</si>
  <si>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</si>
  <si>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</si>
  <si>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</si>
  <si>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</si>
  <si>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</si>
  <si>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</si>
  <si>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</si>
  <si>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</si>
  <si>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</si>
  <si>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</si>
  <si>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</si>
  <si>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</si>
  <si>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</si>
  <si>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</si>
  <si>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</si>
  <si>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</si>
  <si>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</si>
  <si>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</si>
  <si>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</si>
  <si>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</si>
  <si>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</si>
  <si>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</si>
  <si>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</si>
  <si>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</si>
  <si>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</si>
  <si>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</si>
  <si>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</si>
  <si>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</si>
  <si>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</si>
  <si>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</si>
  <si>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</si>
  <si>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</si>
  <si>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</si>
  <si>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</si>
  <si>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</si>
  <si>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</si>
  <si>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</si>
  <si>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</si>
  <si>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</si>
  <si>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</si>
  <si>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</si>
  <si>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</si>
  <si>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</si>
  <si>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</si>
  <si>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</si>
  <si>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</si>
  <si>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</si>
  <si>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</si>
  <si>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</si>
  <si>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</si>
  <si>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</si>
  <si>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</si>
  <si>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</si>
  <si>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</si>
  <si>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</si>
  <si>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</si>
  <si>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</si>
  <si>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</si>
  <si>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</si>
  <si>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</si>
  <si>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</si>
  <si>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</si>
  <si>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</si>
  <si>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</si>
  <si>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</si>
  <si>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</si>
  <si>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</si>
  <si>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</si>
  <si>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</si>
  <si>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</si>
  <si>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</si>
  <si>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</si>
  <si>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</si>
  <si>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</si>
  <si>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</si>
  <si>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</si>
  <si>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</si>
  <si>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</si>
  <si>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</si>
  <si>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</si>
  <si>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</si>
  <si>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</si>
  <si>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</si>
  <si>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</si>
  <si>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</si>
  <si>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</si>
  <si>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</si>
  <si>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</si>
  <si>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</si>
  <si>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</si>
  <si>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</si>
  <si>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</si>
  <si>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</si>
  <si>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</si>
  <si>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</si>
  <si>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</si>
  <si>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</si>
  <si>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</si>
  <si>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</si>
  <si>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</si>
  <si>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</si>
  <si>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</si>
  <si>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</si>
  <si>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</si>
  <si>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</si>
  <si>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</si>
  <si>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</si>
  <si>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</si>
  <si>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</si>
  <si>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</si>
  <si>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</si>
  <si>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</si>
  <si>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</si>
  <si>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</si>
  <si>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</si>
  <si>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</si>
  <si>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</si>
  <si>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</si>
  <si>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</si>
  <si>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</si>
  <si>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</si>
  <si>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</si>
  <si>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</si>
  <si>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</si>
  <si>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</si>
  <si>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</si>
  <si>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</si>
  <si>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</si>
  <si>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</si>
  <si>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</si>
  <si>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</si>
  <si>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</si>
  <si>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</si>
  <si>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</si>
  <si>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</si>
  <si>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</si>
  <si>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</si>
  <si>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</si>
  <si>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</si>
  <si>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</si>
  <si>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</si>
  <si>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</si>
  <si>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</si>
  <si>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</si>
  <si>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</si>
  <si>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</si>
  <si>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</si>
  <si>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</si>
  <si>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</si>
  <si>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</si>
  <si>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</si>
  <si>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</si>
  <si>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</si>
  <si>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</si>
  <si>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</si>
  <si>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</si>
  <si>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</si>
  <si>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</si>
  <si>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</si>
  <si>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</si>
  <si>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</si>
  <si>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</si>
  <si>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</si>
  <si>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</si>
  <si>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</si>
  <si>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</si>
  <si>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</si>
  <si>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</si>
  <si>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</si>
  <si>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</si>
  <si>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</si>
  <si>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</si>
  <si>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</si>
  <si>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</si>
  <si>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</si>
  <si>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</si>
  <si>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</si>
  <si>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</si>
  <si>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</si>
  <si>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</si>
  <si>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</si>
  <si>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</si>
  <si>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</si>
  <si>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</si>
  <si>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</si>
  <si>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</si>
  <si>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</si>
  <si>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</si>
  <si>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</si>
  <si>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</si>
  <si>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</si>
  <si>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</si>
  <si>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</si>
  <si>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</si>
  <si>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</si>
  <si>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</si>
  <si>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</si>
  <si>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</si>
  <si>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</si>
  <si>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</si>
  <si>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</si>
  <si>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</si>
  <si>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</si>
  <si>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</si>
  <si>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</si>
  <si>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</si>
  <si>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</si>
  <si>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</si>
  <si>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</si>
  <si>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</si>
  <si>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</si>
  <si>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</si>
  <si>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</si>
  <si>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</si>
  <si>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</si>
  <si>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</si>
  <si>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</si>
  <si>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</si>
  <si>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</si>
  <si>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</si>
  <si>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</si>
  <si>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</si>
  <si>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</si>
  <si>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</si>
  <si>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</si>
  <si>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</si>
  <si>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</si>
  <si>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</si>
  <si>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</si>
  <si>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</si>
  <si>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</si>
  <si>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</si>
  <si>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</si>
  <si>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</si>
  <si>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</si>
  <si>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</si>
  <si>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</si>
  <si>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</si>
  <si>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</si>
  <si>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</si>
  <si>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</si>
  <si>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</si>
  <si>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</si>
  <si>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</si>
  <si>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</si>
  <si>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</si>
  <si>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</si>
  <si>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</si>
  <si>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</si>
  <si>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</si>
  <si>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</si>
  <si>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</si>
  <si>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</si>
  <si>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</si>
  <si>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</si>
  <si>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</si>
  <si>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</si>
  <si>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</si>
  <si>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</si>
  <si>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</si>
  <si>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</si>
  <si>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</si>
  <si>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</si>
  <si>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</si>
  <si>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</si>
  <si>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</si>
  <si>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</si>
  <si>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</si>
  <si>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</si>
  <si>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</si>
  <si>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</si>
  <si>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</si>
  <si>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</si>
  <si>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</si>
  <si>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</si>
  <si>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</si>
  <si>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</si>
  <si>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</si>
  <si>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</si>
  <si>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</si>
  <si>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</si>
  <si>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</si>
  <si>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</si>
  <si>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</si>
  <si>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</si>
  <si>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</si>
  <si>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</si>
  <si>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</si>
  <si>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</si>
  <si>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</si>
  <si>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</si>
  <si>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</si>
  <si>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</si>
  <si>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</si>
  <si>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</si>
  <si>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</si>
  <si>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</si>
  <si>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</si>
  <si>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</si>
  <si>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</si>
  <si>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</si>
  <si>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</si>
  <si>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</si>
  <si>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</si>
  <si>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</si>
  <si>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</si>
  <si>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</si>
  <si>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</si>
  <si>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</si>
  <si>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</si>
  <si>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</si>
  <si>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</si>
  <si>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</si>
  <si>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</si>
  <si>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</si>
  <si>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</si>
  <si>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</si>
  <si>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</si>
  <si>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</si>
  <si>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</si>
  <si>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</si>
  <si>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</si>
  <si>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</si>
  <si>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</si>
  <si>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</si>
  <si>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</si>
  <si>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</si>
  <si>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</si>
  <si>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</si>
  <si>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</si>
  <si>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</si>
  <si>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</si>
  <si>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</si>
  <si>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</si>
  <si>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</si>
  <si>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</si>
  <si>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</si>
  <si>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</si>
  <si>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</si>
  <si>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</si>
  <si>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</si>
  <si>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</si>
  <si>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</si>
  <si>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</si>
  <si>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</si>
  <si>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</si>
  <si>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</si>
  <si>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</si>
  <si>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</si>
  <si>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</si>
  <si>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</si>
  <si>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</si>
  <si>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</si>
  <si>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</si>
  <si>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</si>
  <si>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</si>
  <si>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</si>
  <si>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</si>
  <si>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</si>
  <si>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</si>
  <si>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</si>
  <si>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</si>
  <si>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</si>
  <si>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</si>
  <si>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</si>
  <si>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</si>
  <si>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</si>
  <si>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</si>
  <si>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</si>
  <si>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</si>
  <si>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</si>
  <si>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</si>
  <si>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</si>
  <si>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</si>
  <si>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</si>
  <si>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</si>
  <si>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</si>
  <si>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</si>
  <si>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</si>
  <si>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</si>
  <si>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</si>
  <si>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</si>
  <si>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</si>
  <si>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</si>
  <si>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</si>
  <si>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</si>
  <si>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</si>
  <si>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</si>
  <si>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</si>
  <si>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</si>
  <si>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</si>
  <si>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</si>
  <si>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</si>
  <si>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</si>
  <si>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</si>
  <si>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</si>
  <si>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</si>
  <si>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</si>
  <si>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</si>
  <si>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</si>
  <si>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</si>
  <si>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</si>
  <si>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</si>
  <si>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</si>
  <si>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</si>
  <si>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</si>
  <si>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</si>
  <si>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</si>
  <si>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</si>
  <si>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</si>
  <si>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</si>
  <si>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</si>
  <si>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</si>
  <si>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</si>
  <si>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</si>
  <si>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</si>
  <si>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</si>
  <si>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</si>
  <si>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</si>
  <si>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</si>
  <si>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</si>
  <si>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</si>
  <si>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</si>
  <si>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</si>
  <si>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</si>
  <si>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</si>
  <si>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</si>
  <si>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</si>
  <si>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</si>
  <si>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</si>
  <si>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</si>
  <si>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</si>
  <si>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</si>
  <si>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</si>
  <si>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</si>
  <si>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</si>
  <si>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</si>
  <si>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</si>
  <si>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</si>
  <si>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</si>
  <si>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</si>
  <si>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</si>
  <si>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</si>
  <si>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</si>
  <si>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</si>
  <si>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</si>
  <si>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</si>
  <si>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</si>
  <si>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</si>
  <si>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</si>
  <si>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</si>
  <si>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</si>
  <si>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</si>
  <si>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</si>
  <si>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</si>
  <si>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</si>
  <si>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</si>
  <si>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</si>
  <si>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</si>
  <si>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</si>
  <si>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</si>
  <si>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</si>
  <si>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</si>
  <si>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</si>
  <si>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</si>
  <si>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</si>
  <si>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</si>
  <si>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</si>
  <si>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</si>
  <si>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</si>
  <si>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</si>
  <si>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</si>
  <si>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</si>
  <si>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</si>
  <si>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</si>
  <si>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</si>
  <si>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</si>
  <si>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</si>
  <si>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</si>
  <si>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</si>
  <si>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</si>
  <si>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</si>
  <si>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</si>
  <si>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</si>
  <si>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</si>
  <si>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</si>
  <si>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</si>
  <si>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</si>
  <si>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</si>
  <si>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</si>
  <si>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</si>
  <si>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</si>
  <si>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</si>
  <si>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</si>
  <si>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</si>
  <si>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</si>
  <si>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</si>
  <si>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</si>
  <si>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</si>
  <si>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</si>
  <si>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</si>
  <si>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</si>
  <si>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</si>
  <si>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</si>
  <si>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</si>
  <si>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</si>
  <si>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</si>
  <si>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</si>
  <si>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</si>
  <si>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</si>
  <si>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</si>
  <si>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</si>
  <si>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</si>
  <si>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</si>
  <si>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</si>
  <si>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</si>
  <si>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</si>
  <si>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</si>
  <si>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</si>
  <si>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</si>
  <si>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</si>
  <si>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</si>
  <si>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</si>
  <si>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</si>
  <si>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</si>
  <si>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</si>
  <si>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</si>
  <si>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</si>
  <si>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</si>
  <si>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</si>
  <si>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</si>
  <si>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</si>
  <si>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</si>
  <si>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</si>
  <si>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</si>
  <si>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</si>
  <si>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</si>
  <si>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</si>
  <si>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</si>
  <si>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</si>
  <si>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</si>
  <si>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</si>
  <si>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</si>
  <si>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</si>
  <si>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</si>
  <si>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</si>
  <si>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</si>
  <si>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</si>
  <si>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</si>
  <si>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</si>
  <si>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</si>
  <si>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</si>
  <si>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</si>
  <si>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</si>
  <si>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</si>
  <si>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</si>
  <si>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</si>
  <si>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</si>
  <si>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</si>
  <si>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</si>
  <si>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</si>
  <si>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</si>
  <si>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</si>
  <si>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</si>
  <si>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</si>
  <si>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</si>
  <si>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</si>
  <si>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</si>
  <si>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</si>
  <si>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</si>
  <si>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</si>
  <si>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</si>
  <si>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</si>
  <si>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</si>
  <si>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</si>
  <si>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</si>
  <si>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</si>
  <si>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</si>
  <si>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</si>
  <si>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</si>
  <si>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</si>
  <si>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</si>
  <si>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</si>
  <si>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</si>
  <si>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</si>
  <si>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</si>
  <si>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</si>
  <si>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</si>
  <si>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</si>
  <si>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</si>
  <si>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</si>
  <si>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</si>
  <si>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</si>
  <si>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</si>
  <si>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</si>
  <si>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</si>
  <si>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</si>
  <si>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</si>
  <si>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</si>
  <si>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</si>
  <si>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</si>
  <si>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</si>
  <si>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</si>
  <si>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</si>
  <si>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</si>
  <si>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</si>
  <si>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</si>
  <si>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</si>
  <si>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</si>
  <si>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</si>
  <si>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</si>
  <si>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</si>
  <si>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</si>
  <si>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</si>
  <si>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</si>
  <si>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</si>
  <si>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</si>
  <si>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</si>
  <si>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</si>
  <si>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</si>
  <si>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</si>
  <si>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</si>
  <si>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</si>
  <si>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</si>
  <si>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</si>
  <si>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</si>
  <si>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</si>
  <si>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</si>
  <si>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</si>
  <si>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</si>
  <si>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</si>
  <si>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</si>
  <si>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</si>
  <si>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</si>
  <si>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</si>
  <si>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</si>
  <si>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</si>
  <si>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</si>
  <si>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</si>
  <si>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</si>
  <si>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</si>
  <si>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</si>
  <si>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</si>
  <si>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</si>
  <si>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</si>
  <si>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</si>
  <si>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</si>
  <si>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</si>
  <si>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</si>
  <si>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</si>
  <si>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</si>
  <si>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</si>
  <si>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</si>
  <si>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</si>
  <si>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</si>
  <si>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</si>
  <si>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</si>
  <si>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</si>
  <si>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</si>
  <si>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</si>
  <si>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</si>
  <si>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</si>
  <si>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</si>
  <si>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</si>
  <si>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</si>
  <si>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</si>
  <si>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</si>
  <si>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</si>
  <si>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</si>
  <si>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</si>
  <si>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</si>
  <si>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</si>
  <si>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</si>
  <si>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</si>
  <si>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</si>
  <si>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</si>
  <si>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</si>
  <si>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</si>
  <si>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</si>
  <si>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</si>
  <si>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</si>
  <si>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</si>
  <si>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</si>
  <si>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</si>
  <si>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</si>
  <si>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</si>
  <si>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</si>
  <si>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</si>
  <si>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</si>
  <si>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</si>
  <si>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</si>
  <si>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</si>
  <si>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</si>
  <si>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</si>
  <si>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</si>
  <si>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</si>
  <si>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</si>
  <si>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</si>
  <si>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</si>
  <si>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</si>
  <si>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</si>
  <si>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</si>
  <si>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</si>
  <si>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</si>
  <si>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</si>
  <si>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</si>
  <si>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</si>
  <si>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</si>
  <si>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</si>
  <si>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</si>
  <si>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</si>
  <si>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</si>
  <si>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</si>
  <si>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</si>
  <si>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</si>
  <si>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</si>
  <si>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</si>
  <si>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</si>
  <si>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</si>
  <si>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</si>
  <si>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</si>
  <si>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</si>
  <si>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</si>
  <si>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</si>
  <si>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</si>
  <si>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</si>
  <si>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</si>
  <si>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</si>
  <si>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</si>
  <si>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</si>
  <si>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</si>
  <si>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</si>
  <si>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</si>
  <si>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</si>
  <si>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</si>
  <si>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</si>
  <si>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</si>
  <si>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</si>
  <si>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</si>
  <si>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</si>
  <si>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</si>
  <si>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</si>
  <si>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</si>
  <si>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</si>
  <si>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</si>
  <si>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</si>
  <si>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</si>
  <si>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</si>
  <si>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</si>
  <si>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</si>
  <si>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</si>
  <si>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</si>
  <si>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</si>
  <si>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</si>
  <si>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</si>
  <si>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</si>
  <si>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</si>
  <si>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</si>
  <si>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</si>
  <si>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</si>
  <si>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</si>
  <si>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</si>
  <si>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</si>
  <si>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</si>
  <si>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</si>
  <si>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</si>
  <si>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</si>
  <si>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</si>
  <si>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</si>
  <si>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</si>
  <si>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</si>
  <si>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</si>
  <si>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</si>
  <si>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</si>
  <si>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</si>
  <si>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</si>
  <si>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</si>
  <si>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</si>
  <si>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</si>
  <si>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</si>
  <si>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</si>
  <si>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</si>
  <si>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</si>
  <si>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</si>
  <si>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</si>
  <si>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</si>
  <si>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</si>
  <si>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</si>
  <si>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</si>
  <si>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</si>
  <si>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</si>
  <si>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</si>
  <si>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</si>
  <si>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</si>
  <si>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</si>
  <si>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</si>
  <si>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</si>
  <si>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</si>
  <si>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</si>
  <si>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</si>
  <si>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</si>
  <si>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</si>
  <si>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</si>
  <si>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</si>
  <si>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</si>
  <si>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</si>
  <si>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</si>
  <si>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</si>
  <si>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</si>
  <si>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</si>
  <si>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</si>
  <si>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</si>
  <si>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</si>
  <si>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</si>
  <si>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</si>
  <si>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</si>
  <si>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</si>
  <si>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</si>
  <si>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</si>
  <si>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</si>
  <si>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</si>
  <si>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</si>
  <si>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</si>
  <si>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</si>
  <si>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</si>
  <si>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</si>
  <si>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</si>
  <si>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</si>
  <si>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</si>
  <si>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</si>
  <si>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</si>
  <si>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</si>
  <si>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</si>
  <si>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</si>
  <si>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</si>
  <si>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</si>
  <si>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</si>
  <si>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</si>
  <si>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</si>
  <si>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</si>
  <si>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</si>
  <si>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</si>
  <si>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</si>
  <si>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</si>
  <si>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</si>
  <si>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</si>
  <si>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</si>
  <si>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</si>
  <si>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</si>
  <si>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</si>
  <si>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</si>
  <si>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</si>
  <si>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</si>
  <si>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</si>
  <si>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</si>
  <si>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</si>
  <si>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</si>
  <si>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</si>
  <si>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</si>
  <si>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</si>
  <si>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</si>
  <si>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</si>
  <si>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</si>
  <si>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</si>
  <si>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</si>
  <si>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</si>
  <si>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</si>
  <si>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</si>
  <si>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</si>
  <si>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</si>
  <si>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</si>
  <si>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</si>
  <si>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</si>
  <si>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</si>
  <si>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</si>
  <si>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</si>
  <si>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</si>
  <si>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</si>
  <si>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</si>
  <si>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</si>
  <si>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</si>
  <si>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</si>
  <si>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</si>
  <si>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</si>
  <si>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</si>
  <si>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</si>
  <si>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</si>
  <si>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</si>
  <si>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</si>
  <si>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</si>
  <si>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</si>
  <si>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</si>
  <si>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</si>
  <si>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</si>
  <si>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</si>
  <si>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</si>
  <si>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</si>
  <si>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</si>
  <si>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</si>
  <si>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</si>
  <si>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</si>
  <si>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</si>
  <si>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</si>
  <si>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</si>
  <si>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</si>
  <si>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</si>
  <si>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</si>
  <si>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</si>
  <si>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</si>
  <si>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</si>
  <si>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</si>
  <si>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</si>
  <si>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</si>
  <si>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</si>
  <si>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</si>
  <si>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</si>
  <si>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</si>
  <si>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</si>
  <si>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</si>
  <si>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</si>
  <si>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</si>
  <si>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</si>
  <si>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</si>
  <si>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</si>
  <si>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</si>
  <si>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</si>
  <si>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</si>
  <si>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</si>
  <si>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</si>
  <si>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</si>
  <si>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</si>
  <si>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</si>
  <si>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</si>
  <si>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</si>
  <si>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</si>
  <si>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</si>
  <si>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</si>
  <si>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</si>
  <si>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</si>
  <si>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</si>
  <si>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</si>
  <si>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</si>
  <si>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</si>
  <si>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</si>
  <si>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</si>
  <si>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</si>
  <si>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</si>
  <si>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</si>
  <si>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</si>
  <si>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</si>
  <si>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</si>
  <si>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</si>
  <si>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</si>
  <si>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</si>
  <si>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</si>
  <si>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</si>
  <si>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</si>
  <si>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</si>
  <si>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</si>
  <si>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</si>
  <si>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</si>
  <si>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</si>
  <si>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</si>
  <si>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</si>
  <si>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</si>
  <si>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</si>
  <si>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</si>
  <si>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</si>
  <si>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</si>
  <si>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</si>
  <si>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</si>
  <si>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</si>
  <si>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</si>
  <si>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</si>
  <si>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</si>
  <si>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</si>
  <si>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</si>
  <si>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</si>
  <si>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</si>
  <si>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</si>
  <si>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</si>
  <si>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</si>
  <si>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</si>
  <si>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</si>
  <si>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</si>
  <si>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</si>
  <si>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</si>
  <si>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</si>
  <si>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</si>
  <si>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</si>
  <si>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</si>
  <si>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</si>
  <si>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</si>
  <si>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</si>
  <si>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</si>
  <si>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</si>
  <si>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</si>
  <si>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</si>
  <si>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</si>
  <si>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</si>
  <si>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</si>
  <si>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</si>
  <si>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</si>
  <si>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</si>
  <si>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</si>
  <si>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</si>
  <si>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</si>
  <si>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</si>
  <si>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</si>
  <si>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</si>
  <si>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</si>
  <si>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</si>
  <si>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</si>
  <si>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</si>
  <si>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</si>
  <si>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</si>
  <si>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</si>
  <si>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</si>
  <si>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</si>
  <si>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</si>
  <si>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</si>
  <si>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</si>
  <si>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</si>
  <si>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</si>
  <si>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</si>
  <si>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</si>
  <si>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</si>
  <si>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</si>
  <si>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</si>
  <si>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</si>
  <si>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</si>
  <si>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</si>
  <si>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</si>
  <si>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</si>
  <si>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</si>
  <si>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</si>
  <si>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</si>
  <si>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</si>
  <si>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</si>
  <si>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</si>
  <si>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</si>
  <si>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</si>
  <si>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</si>
  <si>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</si>
  <si>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</si>
  <si>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</si>
  <si>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</si>
  <si>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</si>
  <si>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</si>
  <si>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</si>
  <si>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</si>
  <si>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</si>
  <si>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</si>
  <si>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</si>
  <si>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</si>
  <si>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</si>
  <si>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</si>
  <si>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</si>
  <si>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</si>
  <si>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</si>
  <si>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</si>
  <si>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</si>
  <si>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</si>
  <si>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</si>
  <si>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</si>
  <si>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</si>
  <si>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</si>
  <si>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</si>
  <si>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</si>
  <si>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</si>
  <si>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</si>
  <si>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</si>
  <si>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</si>
  <si>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</si>
  <si>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</si>
  <si>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</si>
  <si>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</si>
  <si>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</si>
  <si>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</si>
  <si>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</si>
  <si>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</si>
  <si>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</si>
  <si>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</si>
  <si>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</si>
  <si>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</si>
  <si>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</si>
  <si>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</si>
  <si>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</si>
  <si>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</si>
  <si>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</si>
  <si>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</si>
  <si>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</si>
  <si>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</si>
  <si>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</si>
  <si>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</si>
  <si>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</si>
  <si>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</si>
  <si>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</si>
  <si>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</si>
  <si>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</si>
  <si>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</si>
  <si>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</si>
  <si>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</si>
  <si>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</si>
  <si>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</si>
  <si>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</si>
  <si>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</si>
  <si>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</si>
  <si>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</si>
  <si>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</si>
  <si>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</si>
  <si>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</si>
  <si>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</si>
  <si>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</si>
  <si>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</si>
  <si>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</si>
  <si>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</si>
  <si>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</si>
  <si>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</si>
  <si>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</si>
  <si>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</si>
  <si>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</si>
  <si>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</si>
  <si>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</si>
  <si>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</si>
  <si>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</si>
  <si>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</si>
  <si>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</si>
  <si>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</si>
  <si>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</si>
  <si>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</si>
  <si>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</si>
  <si>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</si>
  <si>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</si>
  <si>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</si>
  <si>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</si>
  <si>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</si>
  <si>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</si>
  <si>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</si>
  <si>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</si>
  <si>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</si>
  <si>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</si>
  <si>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</si>
  <si>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</si>
  <si>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</si>
  <si>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</si>
  <si>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</si>
  <si>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</si>
  <si>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</si>
  <si>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</si>
  <si>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</si>
  <si>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</si>
  <si>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</si>
  <si>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</si>
  <si>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</si>
  <si>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</si>
  <si>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</si>
  <si>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</si>
  <si>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</si>
  <si>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</si>
  <si>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</si>
  <si>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</si>
  <si>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</si>
  <si>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</si>
  <si>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</si>
  <si>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</si>
  <si>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</si>
  <si>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</si>
  <si>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</si>
  <si>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</si>
  <si>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</si>
  <si>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</si>
  <si>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</si>
  <si>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</si>
  <si>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</si>
  <si>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</si>
  <si>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</si>
  <si>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</si>
  <si>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</si>
  <si>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</si>
  <si>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</si>
  <si>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</si>
  <si>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</si>
  <si>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</si>
  <si>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</si>
  <si>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</si>
  <si>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</si>
  <si>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</si>
  <si>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</si>
  <si>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</si>
  <si>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</si>
  <si>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</si>
  <si>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</si>
  <si>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</si>
  <si>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</si>
  <si>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</si>
  <si>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</si>
  <si>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</si>
  <si>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</si>
  <si>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</si>
  <si>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</si>
  <si>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</si>
  <si>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</si>
  <si>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</si>
  <si>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</si>
  <si>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</si>
  <si>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</si>
  <si>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</si>
  <si>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</si>
  <si>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</si>
  <si>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</si>
  <si>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</si>
  <si>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</si>
  <si>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</si>
  <si>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</si>
  <si>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</si>
  <si>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</si>
  <si>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</si>
  <si>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</si>
  <si>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</si>
  <si>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</si>
  <si>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</si>
  <si>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</si>
  <si>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</si>
  <si>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</si>
  <si>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</si>
  <si>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</si>
  <si>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</si>
  <si>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</si>
  <si>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</si>
  <si>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</si>
  <si>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</si>
  <si>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</si>
  <si>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</si>
  <si>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</si>
  <si>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</si>
  <si>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</si>
  <si>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</si>
  <si>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</si>
  <si>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</si>
  <si>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</si>
  <si>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</si>
  <si>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</si>
  <si>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</si>
  <si>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</si>
  <si>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</si>
  <si>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</si>
  <si>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</si>
  <si>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</si>
  <si>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</si>
  <si>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</si>
  <si>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</si>
  <si>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</si>
  <si>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</si>
  <si>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</si>
  <si>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</si>
  <si>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</si>
  <si>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</si>
  <si>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</si>
  <si>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</si>
  <si>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</si>
  <si>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</si>
  <si>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</si>
  <si>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</si>
  <si>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</si>
  <si>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</si>
  <si>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</si>
  <si>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</si>
  <si>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</si>
  <si>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</si>
  <si>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</si>
  <si>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</si>
  <si>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</si>
  <si>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</si>
  <si>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</si>
  <si>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</si>
  <si>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</si>
  <si>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</si>
  <si>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</si>
  <si>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</si>
  <si>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</si>
  <si>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</si>
  <si>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</si>
  <si>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</si>
  <si>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</si>
  <si>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</si>
  <si>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</si>
  <si>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</si>
  <si>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</si>
  <si>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</si>
  <si>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</si>
  <si>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</si>
  <si>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</si>
  <si>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</si>
  <si>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</si>
  <si>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</si>
  <si>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</si>
  <si>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</si>
  <si>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</si>
  <si>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</si>
  <si>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</si>
  <si>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</si>
  <si>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</si>
  <si>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</si>
  <si>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</si>
  <si>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</si>
  <si>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</si>
  <si>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</si>
  <si>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</si>
  <si>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</si>
  <si>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</si>
  <si>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</si>
  <si>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</si>
  <si>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</si>
  <si>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</si>
  <si>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</si>
  <si>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</si>
  <si>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</si>
  <si>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</si>
  <si>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</si>
  <si>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</si>
  <si>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</si>
  <si>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</si>
  <si>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</si>
  <si>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</si>
  <si>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</si>
  <si>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</si>
  <si>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</si>
  <si>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</si>
  <si>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</si>
  <si>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</si>
  <si>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</si>
  <si>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</si>
  <si>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</si>
  <si>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</si>
  <si>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</si>
  <si>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</si>
  <si>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</si>
  <si>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</si>
  <si>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</si>
  <si>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</si>
  <si>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</si>
  <si>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</si>
  <si>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</si>
  <si>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</si>
  <si>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</si>
  <si>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</si>
  <si>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</si>
  <si>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</si>
  <si>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</si>
  <si>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</si>
  <si>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</si>
  <si>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</si>
  <si>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</si>
  <si>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</si>
  <si>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</si>
  <si>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</si>
  <si>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</si>
  <si>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</si>
  <si>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</si>
  <si>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</si>
  <si>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</si>
  <si>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</si>
  <si>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</si>
  <si>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</si>
  <si>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</si>
  <si>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</si>
  <si>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</si>
  <si>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</si>
  <si>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</si>
  <si>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</si>
  <si>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</si>
  <si>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</si>
  <si>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</si>
  <si>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</si>
  <si>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</si>
  <si>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</si>
  <si>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</si>
  <si>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</si>
  <si>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</si>
  <si>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</si>
  <si>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</si>
  <si>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</si>
  <si>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</si>
  <si>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</si>
  <si>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</si>
  <si>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</si>
  <si>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</si>
  <si>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</si>
  <si>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</si>
  <si>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</si>
  <si>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</si>
  <si>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</si>
  <si>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</si>
  <si>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</si>
  <si>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</si>
  <si>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</si>
  <si>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</si>
  <si>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</si>
  <si>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</si>
  <si>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</si>
  <si>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</si>
  <si>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</si>
  <si>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</si>
  <si>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</si>
  <si>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</si>
  <si>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</si>
  <si>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</si>
  <si>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</si>
  <si>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</si>
  <si>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</si>
  <si>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</si>
  <si>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</si>
  <si>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</si>
  <si>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</si>
  <si>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</si>
  <si>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</si>
  <si>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</si>
  <si>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</si>
  <si>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</si>
  <si>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</si>
  <si>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</si>
  <si>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</si>
  <si>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</si>
  <si>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</si>
  <si>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</si>
  <si>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TowerJazz Semiconductor LTD.</t>
  </si>
  <si>
    <t>Factory Number</t>
  </si>
  <si>
    <t>4321 Jamboree Road, Newport Beach, CA  92660</t>
  </si>
  <si>
    <t>Moti Amsalem</t>
  </si>
  <si>
    <t>Fab3</t>
  </si>
  <si>
    <t>cammmh@towersemi.com</t>
  </si>
  <si>
    <t>972-4-6506259</t>
  </si>
  <si>
    <t>Expert Materials Quality Engineer</t>
  </si>
  <si>
    <t>www.towerjazz.com</t>
  </si>
  <si>
    <t>NO.300, KEJING SHE, HAICANG DISTRICT</t>
  </si>
  <si>
    <t>1 Hawes Street</t>
  </si>
  <si>
    <t>Liu (Eric) Renfeng</t>
  </si>
  <si>
    <t>liu.rengfeng@cxtc.com</t>
  </si>
  <si>
    <t>Karin Laursen</t>
  </si>
  <si>
    <t>karin.laursen@
globaltungsten.com</t>
  </si>
  <si>
    <t>Confidential information</t>
  </si>
  <si>
    <t>Listed on CFSI Conflict Free Smelter List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</si>
</sst>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0" fillId="2" borderId="65" xfId="0" applyFill="1" applyBorder="1" applyAlignment="1" applyProtection="1">
      <alignment horizontal="left" vertical="center" wrapText="1"/>
      <protection locked="0"/>
    </xf>
    <xf numFmtId="0" fontId="0" fillId="2" borderId="47" xfId="0" applyFill="1" applyBorder="1" applyAlignment="1" applyProtection="1">
      <alignment horizontal="left" vertical="center"/>
      <protection locked="0" hidden="1"/>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0" fillId="2" borderId="33" xfId="0" applyFill="1" applyBorder="1" applyAlignment="1" applyProtection="1">
      <alignment horizontal="left" vertical="center" wrapText="1"/>
      <protection locked="0"/>
    </xf>
    <xf numFmtId="0" fontId="0" fillId="0" borderId="65" xfId="0" applyFont="1" applyBorder="1" applyAlignment="1" applyProtection="1">
      <alignment wrapText="1"/>
      <protection locked="0"/>
    </xf>
    <xf numFmtId="0" fontId="0" fillId="2" borderId="66" xfId="0" applyFont="1"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31">
    <dxf>
      <font>
        <condense val="0"/>
        <extend val="0"/>
        <color indexed="10"/>
      </font>
    </dxf>
    <dxf>
      <font>
        <condense val="0"/>
        <extend val="0"/>
        <color indexed="10"/>
      </font>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5"/>
      <c r="B2" s="38" t="s">
        <v>975</v>
      </c>
      <c r="C2" s="36"/>
      <c r="D2" s="227"/>
      <c r="E2" s="3"/>
      <c r="F2" s="36"/>
      <c r="G2" s="34"/>
    </row>
    <row r="3" spans="1:7">
      <c r="A3" s="345"/>
      <c r="B3" s="5" t="s">
        <v>964</v>
      </c>
      <c r="C3" s="6"/>
      <c r="D3" s="228"/>
      <c r="E3" s="3"/>
      <c r="F3" s="6"/>
      <c r="G3" s="34"/>
    </row>
    <row r="4" spans="1:7" ht="15.75">
      <c r="A4" s="345"/>
      <c r="B4" s="41" t="s">
        <v>977</v>
      </c>
      <c r="C4" s="7"/>
      <c r="D4" s="229"/>
      <c r="E4" s="3"/>
      <c r="F4" s="7"/>
      <c r="G4" s="34"/>
    </row>
    <row r="5" spans="1:7">
      <c r="A5" s="345"/>
      <c r="B5" s="40" t="s">
        <v>1169</v>
      </c>
      <c r="C5" s="4"/>
      <c r="D5" s="230"/>
      <c r="E5" s="3"/>
      <c r="F5" s="4"/>
      <c r="G5" s="34"/>
    </row>
    <row r="6" spans="1:7">
      <c r="A6" s="345"/>
      <c r="B6" s="8"/>
      <c r="C6" s="8"/>
      <c r="D6" s="231"/>
      <c r="E6" s="8"/>
      <c r="F6" s="8"/>
      <c r="G6" s="34"/>
    </row>
    <row r="7" spans="1:7">
      <c r="A7" s="345"/>
      <c r="B7" s="8"/>
      <c r="C7" s="8"/>
      <c r="D7" s="231"/>
      <c r="E7" s="8"/>
      <c r="F7" s="8"/>
      <c r="G7" s="34"/>
    </row>
    <row r="8" spans="1:7">
      <c r="A8" s="345"/>
      <c r="B8" s="8"/>
      <c r="C8" s="8"/>
      <c r="D8" s="231"/>
      <c r="E8" s="8"/>
      <c r="F8" s="8"/>
      <c r="G8" s="34"/>
    </row>
    <row r="9" spans="1:7">
      <c r="A9" s="345"/>
      <c r="B9" s="348" t="s">
        <v>978</v>
      </c>
      <c r="C9" s="348"/>
      <c r="D9" s="348"/>
      <c r="E9" s="348"/>
      <c r="F9" s="348"/>
      <c r="G9" s="34"/>
    </row>
    <row r="10" spans="1:7" ht="27" customHeight="1">
      <c r="A10" s="345"/>
      <c r="B10" s="349" t="s">
        <v>511</v>
      </c>
      <c r="C10" s="349"/>
      <c r="D10" s="349"/>
      <c r="E10" s="349"/>
      <c r="F10" s="349"/>
      <c r="G10" s="34"/>
    </row>
    <row r="11" spans="1:7" ht="27" customHeight="1">
      <c r="A11" s="345"/>
      <c r="B11" s="350"/>
      <c r="C11" s="350"/>
      <c r="D11" s="350"/>
      <c r="E11" s="350"/>
      <c r="F11" s="350"/>
      <c r="G11" s="34"/>
    </row>
    <row r="12" spans="1:7" ht="16.5">
      <c r="A12" s="345"/>
      <c r="B12" s="42" t="s">
        <v>976</v>
      </c>
      <c r="C12" s="43" t="s">
        <v>979</v>
      </c>
      <c r="D12" s="232" t="s">
        <v>980</v>
      </c>
      <c r="E12" s="43" t="s">
        <v>706</v>
      </c>
      <c r="F12" s="43" t="s">
        <v>707</v>
      </c>
      <c r="G12" s="34"/>
    </row>
    <row r="13" spans="1:7" ht="33.75">
      <c r="A13" s="345"/>
      <c r="B13" s="2">
        <v>1</v>
      </c>
      <c r="C13" s="37" t="s">
        <v>1220</v>
      </c>
      <c r="D13" s="39" t="s">
        <v>1004</v>
      </c>
      <c r="E13" s="214" t="s">
        <v>981</v>
      </c>
      <c r="F13" s="214"/>
      <c r="G13" s="34"/>
    </row>
    <row r="14" spans="1:7" ht="33.75">
      <c r="A14" s="345"/>
      <c r="B14" s="2">
        <v>2</v>
      </c>
      <c r="C14" s="37" t="s">
        <v>1220</v>
      </c>
      <c r="D14" s="39" t="s">
        <v>1154</v>
      </c>
      <c r="E14" s="214" t="s">
        <v>607</v>
      </c>
      <c r="F14" s="214" t="s">
        <v>608</v>
      </c>
      <c r="G14" s="34"/>
    </row>
    <row r="15" spans="1:7" ht="89.1" customHeight="1">
      <c r="A15" s="345"/>
      <c r="B15" s="351">
        <v>2.0099999999999998</v>
      </c>
      <c r="C15" s="354" t="s">
        <v>1220</v>
      </c>
      <c r="D15" s="357" t="s">
        <v>2745</v>
      </c>
      <c r="E15" s="215" t="s">
        <v>708</v>
      </c>
      <c r="F15" s="215" t="s">
        <v>711</v>
      </c>
      <c r="G15" s="34"/>
    </row>
    <row r="16" spans="1:7" ht="99" customHeight="1">
      <c r="A16" s="345"/>
      <c r="B16" s="352"/>
      <c r="C16" s="355"/>
      <c r="D16" s="358"/>
      <c r="E16" s="216"/>
      <c r="F16" s="216" t="s">
        <v>709</v>
      </c>
      <c r="G16" s="34"/>
    </row>
    <row r="17" spans="1:7" ht="63" customHeight="1">
      <c r="A17" s="345"/>
      <c r="B17" s="353"/>
      <c r="C17" s="356"/>
      <c r="D17" s="359"/>
      <c r="E17" s="37"/>
      <c r="F17" s="37" t="s">
        <v>710</v>
      </c>
      <c r="G17" s="34"/>
    </row>
    <row r="18" spans="1:7" ht="117" customHeight="1">
      <c r="A18" s="345"/>
      <c r="B18" s="351">
        <v>2.02</v>
      </c>
      <c r="C18" s="354" t="s">
        <v>1220</v>
      </c>
      <c r="D18" s="357" t="s">
        <v>2746</v>
      </c>
      <c r="E18" s="215" t="s">
        <v>512</v>
      </c>
      <c r="F18" s="215" t="s">
        <v>601</v>
      </c>
      <c r="G18" s="34"/>
    </row>
    <row r="19" spans="1:7" ht="71.099999999999994" customHeight="1">
      <c r="A19" s="345"/>
      <c r="B19" s="352"/>
      <c r="C19" s="355"/>
      <c r="D19" s="358"/>
      <c r="E19" s="216" t="s">
        <v>606</v>
      </c>
      <c r="F19" s="216" t="s">
        <v>513</v>
      </c>
      <c r="G19" s="34"/>
    </row>
    <row r="20" spans="1:7" ht="90.75" customHeight="1">
      <c r="A20" s="345"/>
      <c r="B20" s="352"/>
      <c r="C20" s="355"/>
      <c r="D20" s="358"/>
      <c r="E20" s="216"/>
      <c r="F20" s="216" t="s">
        <v>713</v>
      </c>
      <c r="G20" s="34"/>
    </row>
    <row r="21" spans="1:7" ht="74.25" customHeight="1">
      <c r="A21" s="345"/>
      <c r="B21" s="353"/>
      <c r="C21" s="356"/>
      <c r="D21" s="359"/>
      <c r="E21" s="37"/>
      <c r="F21" s="37" t="s">
        <v>712</v>
      </c>
      <c r="G21" s="34"/>
    </row>
    <row r="22" spans="1:7" ht="90" customHeight="1">
      <c r="A22" s="345"/>
      <c r="B22" s="363">
        <v>2.0299999999999998</v>
      </c>
      <c r="C22" s="363" t="s">
        <v>947</v>
      </c>
      <c r="D22" s="366" t="s">
        <v>2747</v>
      </c>
      <c r="E22" s="354" t="s">
        <v>510</v>
      </c>
      <c r="F22" s="215" t="s">
        <v>534</v>
      </c>
      <c r="G22" s="34"/>
    </row>
    <row r="23" spans="1:7" ht="109.5" customHeight="1">
      <c r="A23" s="345"/>
      <c r="B23" s="364"/>
      <c r="C23" s="364"/>
      <c r="D23" s="367"/>
      <c r="E23" s="355"/>
      <c r="F23" s="216" t="s">
        <v>948</v>
      </c>
      <c r="G23" s="34"/>
    </row>
    <row r="24" spans="1:7" ht="74.25" customHeight="1">
      <c r="A24" s="345"/>
      <c r="B24" s="365"/>
      <c r="C24" s="365"/>
      <c r="D24" s="368"/>
      <c r="E24" s="356"/>
      <c r="F24" s="37" t="s">
        <v>509</v>
      </c>
      <c r="G24" s="34"/>
    </row>
    <row r="25" spans="1:7" ht="72" customHeight="1">
      <c r="A25" s="345"/>
      <c r="B25" s="2" t="s">
        <v>532</v>
      </c>
      <c r="C25" s="37" t="s">
        <v>533</v>
      </c>
      <c r="D25" s="39" t="s">
        <v>2748</v>
      </c>
      <c r="E25" s="37" t="s">
        <v>2741</v>
      </c>
      <c r="F25" s="37" t="s">
        <v>535</v>
      </c>
      <c r="G25" s="34"/>
    </row>
    <row r="26" spans="1:7" ht="98.1" customHeight="1">
      <c r="A26" s="345"/>
      <c r="B26" s="360">
        <v>3</v>
      </c>
      <c r="C26" s="351" t="s">
        <v>79</v>
      </c>
      <c r="D26" s="357" t="s">
        <v>2749</v>
      </c>
      <c r="E26" s="354" t="s">
        <v>0</v>
      </c>
      <c r="F26" s="215" t="s">
        <v>73</v>
      </c>
      <c r="G26" s="34"/>
    </row>
    <row r="27" spans="1:7" ht="90" customHeight="1">
      <c r="A27" s="345"/>
      <c r="B27" s="361"/>
      <c r="C27" s="352"/>
      <c r="D27" s="358"/>
      <c r="E27" s="355"/>
      <c r="F27" s="216" t="s">
        <v>68</v>
      </c>
      <c r="G27" s="34"/>
    </row>
    <row r="28" spans="1:7" ht="19.350000000000001" customHeight="1">
      <c r="A28" s="345"/>
      <c r="B28" s="361"/>
      <c r="C28" s="352"/>
      <c r="D28" s="358"/>
      <c r="E28" s="355"/>
      <c r="F28" s="216" t="s">
        <v>69</v>
      </c>
      <c r="G28" s="34"/>
    </row>
    <row r="29" spans="1:7" ht="74.45" customHeight="1">
      <c r="A29" s="345"/>
      <c r="B29" s="361"/>
      <c r="C29" s="352"/>
      <c r="D29" s="358"/>
      <c r="E29" s="355"/>
      <c r="F29" s="216" t="s">
        <v>70</v>
      </c>
      <c r="G29" s="34"/>
    </row>
    <row r="30" spans="1:7" ht="62.45" customHeight="1">
      <c r="A30" s="345"/>
      <c r="B30" s="361"/>
      <c r="C30" s="352"/>
      <c r="D30" s="358"/>
      <c r="E30" s="355"/>
      <c r="F30" s="216" t="s">
        <v>71</v>
      </c>
      <c r="G30" s="34"/>
    </row>
    <row r="31" spans="1:7" ht="81" customHeight="1">
      <c r="A31" s="345"/>
      <c r="B31" s="361"/>
      <c r="C31" s="352"/>
      <c r="D31" s="358"/>
      <c r="E31" s="355"/>
      <c r="F31" s="216" t="s">
        <v>72</v>
      </c>
      <c r="G31" s="34"/>
    </row>
    <row r="32" spans="1:7" ht="48.75" customHeight="1">
      <c r="A32" s="345"/>
      <c r="B32" s="361"/>
      <c r="C32" s="352"/>
      <c r="D32" s="358"/>
      <c r="E32" s="355"/>
      <c r="F32" s="216" t="s">
        <v>75</v>
      </c>
      <c r="G32" s="34"/>
    </row>
    <row r="33" spans="1:7" ht="98.45" customHeight="1">
      <c r="A33" s="345"/>
      <c r="B33" s="361"/>
      <c r="C33" s="352"/>
      <c r="D33" s="358"/>
      <c r="E33" s="355"/>
      <c r="F33" s="216" t="s">
        <v>74</v>
      </c>
      <c r="G33" s="34"/>
    </row>
    <row r="34" spans="1:7" ht="89.1" customHeight="1">
      <c r="A34" s="345"/>
      <c r="B34" s="361"/>
      <c r="C34" s="352"/>
      <c r="D34" s="358"/>
      <c r="E34" s="355"/>
      <c r="F34" s="216" t="s">
        <v>76</v>
      </c>
      <c r="G34" s="34"/>
    </row>
    <row r="35" spans="1:7" ht="29.1" customHeight="1">
      <c r="A35" s="345"/>
      <c r="B35" s="361"/>
      <c r="C35" s="352"/>
      <c r="D35" s="358"/>
      <c r="E35" s="355"/>
      <c r="F35" s="216" t="s">
        <v>77</v>
      </c>
      <c r="G35" s="34"/>
    </row>
    <row r="36" spans="1:7" ht="126.75">
      <c r="A36" s="345"/>
      <c r="B36" s="362"/>
      <c r="C36" s="353"/>
      <c r="D36" s="359"/>
      <c r="E36" s="356"/>
      <c r="F36" s="217" t="s">
        <v>78</v>
      </c>
      <c r="G36" s="34"/>
    </row>
    <row r="37" spans="1:7" ht="123.75">
      <c r="A37" s="345"/>
      <c r="B37" s="176">
        <v>3.01</v>
      </c>
      <c r="C37" s="177" t="s">
        <v>79</v>
      </c>
      <c r="D37" s="39" t="s">
        <v>2750</v>
      </c>
      <c r="E37" s="218" t="s">
        <v>1475</v>
      </c>
      <c r="F37" s="219" t="s">
        <v>1602</v>
      </c>
      <c r="G37" s="34"/>
    </row>
    <row r="38" spans="1:7" ht="112.5">
      <c r="A38" s="345"/>
      <c r="B38" s="176">
        <v>3.02</v>
      </c>
      <c r="C38" s="177" t="s">
        <v>1509</v>
      </c>
      <c r="D38" s="39" t="s">
        <v>2751</v>
      </c>
      <c r="E38" s="218" t="s">
        <v>1524</v>
      </c>
      <c r="F38" s="219" t="s">
        <v>1603</v>
      </c>
      <c r="G38" s="34"/>
    </row>
    <row r="39" spans="1:7" ht="101.25">
      <c r="A39" s="345"/>
      <c r="B39" s="192">
        <v>4</v>
      </c>
      <c r="C39" s="191" t="s">
        <v>1782</v>
      </c>
      <c r="D39" s="39" t="s">
        <v>2752</v>
      </c>
      <c r="E39" s="37" t="s">
        <v>2680</v>
      </c>
      <c r="F39" s="37" t="s">
        <v>1783</v>
      </c>
      <c r="G39" s="34"/>
    </row>
    <row r="40" spans="1:7" ht="56.25">
      <c r="A40" s="345"/>
      <c r="B40" s="176">
        <v>4.01</v>
      </c>
      <c r="C40" s="191" t="s">
        <v>1782</v>
      </c>
      <c r="D40" s="39" t="s">
        <v>2754</v>
      </c>
      <c r="E40" s="37" t="s">
        <v>2700</v>
      </c>
      <c r="F40" s="37" t="s">
        <v>2706</v>
      </c>
      <c r="G40" s="34"/>
    </row>
    <row r="41" spans="1:7" ht="56.25">
      <c r="A41" s="345"/>
      <c r="B41" s="176" t="s">
        <v>2739</v>
      </c>
      <c r="C41" s="191" t="s">
        <v>1782</v>
      </c>
      <c r="D41" s="39" t="s">
        <v>2753</v>
      </c>
      <c r="E41" s="37" t="s">
        <v>2742</v>
      </c>
      <c r="F41" s="37" t="s">
        <v>2740</v>
      </c>
      <c r="G41" s="34"/>
    </row>
    <row r="42" spans="1:7" ht="56.25">
      <c r="A42" s="345"/>
      <c r="B42" s="176" t="s">
        <v>2791</v>
      </c>
      <c r="C42" s="191" t="s">
        <v>1782</v>
      </c>
      <c r="D42" s="39" t="s">
        <v>2962</v>
      </c>
      <c r="E42" s="37" t="s">
        <v>2741</v>
      </c>
      <c r="F42" s="37" t="s">
        <v>2792</v>
      </c>
      <c r="G42" s="34"/>
    </row>
    <row r="43" spans="1:7" ht="123.75">
      <c r="A43" s="345"/>
      <c r="B43" s="208">
        <v>4.0999999999999996</v>
      </c>
      <c r="C43" s="191" t="s">
        <v>2961</v>
      </c>
      <c r="D43" s="209">
        <v>42867</v>
      </c>
      <c r="E43" s="220" t="s">
        <v>2964</v>
      </c>
      <c r="F43" s="37" t="s">
        <v>2963</v>
      </c>
      <c r="G43" s="34"/>
    </row>
    <row r="44" spans="1:7" ht="78.75">
      <c r="A44" s="345"/>
      <c r="B44" s="208">
        <v>4.2</v>
      </c>
      <c r="C44" s="191" t="s">
        <v>2961</v>
      </c>
      <c r="D44" s="209">
        <v>42704</v>
      </c>
      <c r="E44" s="220" t="s">
        <v>3218</v>
      </c>
      <c r="F44" s="37" t="s">
        <v>3183</v>
      </c>
      <c r="G44" s="34"/>
    </row>
    <row r="45" spans="1:7" ht="157.5">
      <c r="A45" s="345"/>
      <c r="B45" s="287">
        <v>5</v>
      </c>
      <c r="C45" s="191" t="s">
        <v>2961</v>
      </c>
      <c r="D45" s="209">
        <v>42867</v>
      </c>
      <c r="E45" s="220" t="s">
        <v>14010</v>
      </c>
      <c r="F45" s="37" t="s">
        <v>13594</v>
      </c>
      <c r="G45" s="34"/>
    </row>
    <row r="46" spans="1:7" ht="45">
      <c r="A46" s="345"/>
      <c r="B46" s="208">
        <v>5.01</v>
      </c>
      <c r="C46" s="191" t="s">
        <v>2961</v>
      </c>
      <c r="D46" s="209">
        <v>42907</v>
      </c>
      <c r="E46" s="220" t="s">
        <v>14066</v>
      </c>
      <c r="F46" s="37" t="s">
        <v>13594</v>
      </c>
      <c r="G46" s="34"/>
    </row>
    <row r="47" spans="1:7" ht="67.5">
      <c r="A47" s="345"/>
      <c r="B47" s="208">
        <v>5.0999999999999996</v>
      </c>
      <c r="C47" s="191" t="s">
        <v>2961</v>
      </c>
      <c r="D47" s="209">
        <v>43070</v>
      </c>
      <c r="E47" s="220" t="s">
        <v>14292</v>
      </c>
      <c r="F47" s="37" t="s">
        <v>14293</v>
      </c>
      <c r="G47" s="34"/>
    </row>
    <row r="48" spans="1:7" ht="56.25">
      <c r="A48" s="345"/>
      <c r="B48" s="208">
        <v>5.1100000000000003</v>
      </c>
      <c r="C48" s="191" t="s">
        <v>14573</v>
      </c>
      <c r="D48" s="209">
        <v>43217</v>
      </c>
      <c r="E48" s="220" t="s">
        <v>14719</v>
      </c>
      <c r="F48" s="37" t="s">
        <v>14614</v>
      </c>
      <c r="G48" s="34"/>
    </row>
    <row r="49" spans="1:7" ht="13.5" thickBot="1">
      <c r="A49" s="346"/>
      <c r="B49" s="347" t="str">
        <f ca="1">OFFSET(L!$C$1,MATCH("General"&amp;"Cpy",L!$A:$A,0)-1,SL,,)</f>
        <v>© 2018 Responsible Minerals Initiative. All rights reserved.</v>
      </c>
      <c r="C49" s="347"/>
      <c r="D49" s="347"/>
      <c r="E49" s="347"/>
      <c r="F49" s="347"/>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107" sqref="G10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7"/>
      <c r="G3" s="407"/>
      <c r="H3" s="407"/>
      <c r="I3" s="194"/>
      <c r="J3" s="173" t="s">
        <v>14598</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ustomHeight="1">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0" t="str">
        <f ca="1">IF(D9=Q9,OFFSET(L!$C$1,MATCH("Declaration"&amp;ADDRESS(ROW(),COLUMN(),4),L!$A:$A,0)-1,SL,,),"")</f>
        <v/>
      </c>
      <c r="E11" s="421"/>
      <c r="F11" s="421"/>
      <c r="G11" s="421"/>
      <c r="H11" s="421"/>
      <c r="I11" s="421"/>
      <c r="J11" s="42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t="s">
        <v>15426</v>
      </c>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t="s">
        <v>15429</v>
      </c>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5" t="s">
        <v>15427</v>
      </c>
      <c r="E14" s="442"/>
      <c r="F14" s="442"/>
      <c r="G14" s="442"/>
      <c r="H14" s="442"/>
      <c r="I14" s="442"/>
      <c r="J14" s="37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26" t="s">
        <v>15428</v>
      </c>
      <c r="E15" s="443"/>
      <c r="F15" s="443"/>
      <c r="G15" s="443"/>
      <c r="H15" s="443"/>
      <c r="I15" s="443"/>
      <c r="J15" s="427"/>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4" t="s">
        <v>15430</v>
      </c>
      <c r="E16" s="445"/>
      <c r="F16" s="445"/>
      <c r="G16" s="445"/>
      <c r="H16" s="445"/>
      <c r="I16" s="445"/>
      <c r="J16" s="44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26" t="s">
        <v>15431</v>
      </c>
      <c r="E17" s="443"/>
      <c r="F17" s="443"/>
      <c r="G17" s="443"/>
      <c r="H17" s="443"/>
      <c r="I17" s="443"/>
      <c r="J17" s="427"/>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26" t="s">
        <v>15428</v>
      </c>
      <c r="E18" s="443"/>
      <c r="F18" s="443"/>
      <c r="G18" s="443"/>
      <c r="H18" s="443"/>
      <c r="I18" s="443"/>
      <c r="J18" s="427"/>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26" t="s">
        <v>15432</v>
      </c>
      <c r="E19" s="443"/>
      <c r="F19" s="443"/>
      <c r="G19" s="443"/>
      <c r="H19" s="443"/>
      <c r="I19" s="443"/>
      <c r="J19" s="427"/>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7" t="s">
        <v>15430</v>
      </c>
      <c r="E20" s="448"/>
      <c r="F20" s="448"/>
      <c r="G20" s="448"/>
      <c r="H20" s="448"/>
      <c r="I20" s="448"/>
      <c r="J20" s="44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26" t="s">
        <v>15431</v>
      </c>
      <c r="E21" s="443"/>
      <c r="F21" s="443"/>
      <c r="G21" s="443"/>
      <c r="H21" s="443"/>
      <c r="I21" s="443"/>
      <c r="J21" s="42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43291</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7"/>
      <c r="E23" s="41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8" t="str">
        <f ca="1">OFFSET(L!$C$1,MATCH("Declaration"&amp;ADDRESS(ROW(),COLUMN(),4),L!$A:$A,0)-1,SL,,)</f>
        <v>Answer</v>
      </c>
      <c r="E25" s="418"/>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75" t="s">
        <v>564</v>
      </c>
      <c r="E27" s="376"/>
      <c r="F27" s="15"/>
      <c r="G27" s="377"/>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75"/>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6"/>
      <c r="I37" s="416"/>
      <c r="J37" s="416"/>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75"/>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564</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563</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80"/>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80"/>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v>1</v>
      </c>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5"/>
      <c r="I55" s="415"/>
      <c r="J55" s="415"/>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563</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5" t="str">
        <f>IF(Q69="(*)","Click here to enter smelter names","")</f>
        <v/>
      </c>
      <c r="I61" s="415"/>
      <c r="J61" s="415"/>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75"/>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9" t="str">
        <f ca="1">OFFSET(L!$C$1,MATCH("Declaration"&amp;ADDRESS(ROW(),COLUMN(),4),L!$A:$A,0)-1,SL,,)</f>
        <v>Answer the Following Questions at a Company Level</v>
      </c>
      <c r="C67" s="429"/>
      <c r="D67" s="429"/>
      <c r="E67" s="429"/>
      <c r="F67" s="429"/>
      <c r="G67" s="429"/>
      <c r="H67" s="429"/>
      <c r="I67" s="429"/>
      <c r="J67" s="42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8" t="str">
        <f ca="1">D25</f>
        <v>Answer</v>
      </c>
      <c r="E68" s="418"/>
      <c r="F68" s="65"/>
      <c r="G68" s="418" t="str">
        <f ca="1">G25</f>
        <v>Comments</v>
      </c>
      <c r="H68" s="418" t="e">
        <f>HLOOKUP(SL,LT,$O68,0)</f>
        <v>#NAME?</v>
      </c>
      <c r="I68" s="418"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9"/>
      <c r="H70" s="419"/>
      <c r="I70" s="419"/>
      <c r="J70" s="41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1" t="s">
        <v>15433</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6" t="s">
        <v>13590</v>
      </c>
      <c r="E79" s="427"/>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9"/>
      <c r="H80" s="419"/>
      <c r="I80" s="419"/>
      <c r="J80" s="41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8"/>
      <c r="H82" s="428"/>
      <c r="I82" s="428"/>
      <c r="J82" s="42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563</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5" t="str">
        <f>IF(OR($D$8="",$I$3=""),"","Click here to check required fields completion")</f>
        <v/>
      </c>
      <c r="C86" s="425"/>
      <c r="D86" s="425"/>
      <c r="E86" s="425"/>
      <c r="F86" s="425"/>
      <c r="G86" s="425"/>
      <c r="H86" s="425"/>
      <c r="I86" s="425"/>
      <c r="J86" s="42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3" t="str">
        <f ca="1">OFFSET(L!$C$1,MATCH("General"&amp;"Cpy",L!$A:$A,0)-1,SL,,)</f>
        <v>© 2018 Responsible Minerals Initiative. All rights reserved.</v>
      </c>
      <c r="B87" s="424"/>
      <c r="C87" s="424"/>
      <c r="D87" s="424"/>
      <c r="E87" s="424"/>
      <c r="F87" s="424"/>
      <c r="G87" s="424"/>
      <c r="H87" s="424"/>
      <c r="I87" s="424"/>
      <c r="J87" s="42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30" priority="79" stopIfTrue="1">
      <formula>AND(OR($D$26="No",AND($D$26="Yes",$D$32="No")),OR($D$27="No",AND($D$27="Yes",$D$33="No")), OR($D$28="No",AND($D$28="Yes",$D$34="No")), OR($D$29="No",AND($D$29="Yes",$D$35="No")))</formula>
    </cfRule>
    <cfRule type="expression" dxfId="129" priority="80" stopIfTrue="1">
      <formula>IF(D69="",TRUE)</formula>
    </cfRule>
  </conditionalFormatting>
  <conditionalFormatting sqref="D26:E26">
    <cfRule type="expression" dxfId="127" priority="131" stopIfTrue="1">
      <formula>IF($D$26="",TRUE)</formula>
    </cfRule>
  </conditionalFormatting>
  <conditionalFormatting sqref="D27:E27">
    <cfRule type="expression" dxfId="126" priority="138" stopIfTrue="1">
      <formula>IF($D$27="",TRUE)</formula>
    </cfRule>
  </conditionalFormatting>
  <conditionalFormatting sqref="D28:E28">
    <cfRule type="expression" dxfId="125" priority="139" stopIfTrue="1">
      <formula>IF($D$28="",TRUE)</formula>
    </cfRule>
  </conditionalFormatting>
  <conditionalFormatting sqref="D29:E29">
    <cfRule type="expression" dxfId="124" priority="140" stopIfTrue="1">
      <formula>IF($D$29="",TRUE)</formula>
    </cfRule>
  </conditionalFormatting>
  <conditionalFormatting sqref="D9:G9">
    <cfRule type="expression" dxfId="122" priority="146" stopIfTrue="1">
      <formula>IF($D$9="",TRUE)</formula>
    </cfRule>
  </conditionalFormatting>
  <conditionalFormatting sqref="D22:E22">
    <cfRule type="expression" dxfId="117" priority="153" stopIfTrue="1">
      <formula>IF($D$22="",TRUE)</formula>
    </cfRule>
  </conditionalFormatting>
  <conditionalFormatting sqref="D10:J10">
    <cfRule type="expression" dxfId="116" priority="50" stopIfTrue="1">
      <formula>IF($D$9=$Q$9,TRUE)</formula>
    </cfRule>
    <cfRule type="expression" dxfId="115" priority="160" stopIfTrue="1">
      <formula>IF(AND($D$10="",$D$9=$R$9),TRUE)</formula>
    </cfRule>
  </conditionalFormatting>
  <conditionalFormatting sqref="D34:E34 D40:E40 D46:E46 D52:E52 D58:E58 D64:E64">
    <cfRule type="expression" dxfId="114" priority="43" stopIfTrue="1">
      <formula>$P$28=""</formula>
    </cfRule>
  </conditionalFormatting>
  <conditionalFormatting sqref="D35:E35 D41:E41 D47:E47 D53:E53 D59:E59 D65:E65">
    <cfRule type="expression" dxfId="113" priority="158" stopIfTrue="1">
      <formula>$P$29=""</formula>
    </cfRule>
  </conditionalFormatting>
  <conditionalFormatting sqref="D32:E32">
    <cfRule type="expression" dxfId="112" priority="136" stopIfTrue="1">
      <formula>$P$26=""</formula>
    </cfRule>
  </conditionalFormatting>
  <conditionalFormatting sqref="D32:E32">
    <cfRule type="expression" dxfId="111" priority="49" stopIfTrue="1">
      <formula>IF(AND(OR($D$26="Yes",$D$26=""),$D$32=""),1,0)</formula>
    </cfRule>
  </conditionalFormatting>
  <conditionalFormatting sqref="D38 D44 D50 D56 D62">
    <cfRule type="expression" dxfId="110" priority="45" stopIfTrue="1">
      <formula>$P$32=""</formula>
    </cfRule>
  </conditionalFormatting>
  <conditionalFormatting sqref="D39:E39 D45 D51 D57 D63">
    <cfRule type="expression" dxfId="109" priority="44" stopIfTrue="1">
      <formula>$P$33=""</formula>
    </cfRule>
  </conditionalFormatting>
  <conditionalFormatting sqref="D40 D46 D52 D58 D64">
    <cfRule type="expression" dxfId="108" priority="34" stopIfTrue="1">
      <formula>$P$34=""</formula>
    </cfRule>
    <cfRule type="expression" dxfId="107" priority="156" stopIfTrue="1">
      <formula>IF(AND(OR($D$28="Yes",$D$28=""),D40=""),1,0)</formula>
    </cfRule>
  </conditionalFormatting>
  <conditionalFormatting sqref="D41 D47 D53 D59 D65">
    <cfRule type="expression" dxfId="106" priority="42" stopIfTrue="1">
      <formula>$P$35=""</formula>
    </cfRule>
  </conditionalFormatting>
  <conditionalFormatting sqref="D38:E38 D44:E44 D50:E50 D56:E56 D62:E62">
    <cfRule type="expression" dxfId="105" priority="47" stopIfTrue="1">
      <formula>$P$26=""</formula>
    </cfRule>
    <cfRule type="expression" dxfId="104" priority="48" stopIfTrue="1">
      <formula>IF(AND(OR($D$26="Yes",$D$26=""),D38=""),1,0)</formula>
    </cfRule>
  </conditionalFormatting>
  <conditionalFormatting sqref="G79:J79">
    <cfRule type="expression" dxfId="103" priority="41" stopIfTrue="1">
      <formula>IF(AND($D$79="Yes, using other format (describe)",$G$79=""),TRUE)</formula>
    </cfRule>
  </conditionalFormatting>
  <conditionalFormatting sqref="D39:E39 D45:E45 D51:E51 D57:E57 D63:E63">
    <cfRule type="expression" dxfId="102" priority="154" stopIfTrue="1">
      <formula>$P$39=""</formula>
    </cfRule>
    <cfRule type="expression" dxfId="101" priority="155" stopIfTrue="1">
      <formula>IF(AND(OR($D$27="Yes",$D$27=""),D39=""),1,0)</formula>
    </cfRule>
  </conditionalFormatting>
  <conditionalFormatting sqref="D33:E33">
    <cfRule type="expression" dxfId="100" priority="36" stopIfTrue="1">
      <formula>IF(AND(OR($D$27="Yes",$D$27=""),$D$33=""),1,0)</formula>
    </cfRule>
    <cfRule type="expression" dxfId="99" priority="37" stopIfTrue="1">
      <formula>$P$27=""</formula>
    </cfRule>
  </conditionalFormatting>
  <conditionalFormatting sqref="D34:E34">
    <cfRule type="expression" dxfId="98" priority="157" stopIfTrue="1">
      <formula>IF(AND(OR($D$28="Yes",$D$28=""),$D$34=""),1,0)</formula>
    </cfRule>
  </conditionalFormatting>
  <conditionalFormatting sqref="D41:E41 D47:E47 D53:E53 D59:E59 D65:E65">
    <cfRule type="expression" dxfId="97" priority="159" stopIfTrue="1">
      <formula>IF(AND(OR($D$29="Yes",$D$29=""),D41=""),1,0)</formula>
    </cfRule>
  </conditionalFormatting>
  <conditionalFormatting sqref="D35:E35">
    <cfRule type="expression" dxfId="96" priority="33" stopIfTrue="1">
      <formula>IF(AND(OR($D$29="Yes",$D$29=""),$D$35=""),1,0)</formula>
    </cfRule>
  </conditionalFormatting>
  <conditionalFormatting sqref="D8:J8">
    <cfRule type="expression" dxfId="58" priority="28" stopIfTrue="1">
      <formula>IF($D$8="",TRUE)</formula>
    </cfRule>
  </conditionalFormatting>
  <conditionalFormatting sqref="D15:J15">
    <cfRule type="expression" dxfId="55" priority="27" stopIfTrue="1">
      <formula>IF($D$15="",TRUE)</formula>
    </cfRule>
  </conditionalFormatting>
  <conditionalFormatting sqref="D15:J15">
    <cfRule type="expression" dxfId="53" priority="26" stopIfTrue="1">
      <formula>IF($D$15="",TRUE)</formula>
    </cfRule>
  </conditionalFormatting>
  <conditionalFormatting sqref="D15:J15">
    <cfRule type="expression" dxfId="51" priority="25" stopIfTrue="1">
      <formula>IF($D$15="",TRUE)</formula>
    </cfRule>
  </conditionalFormatting>
  <conditionalFormatting sqref="D15:J15">
    <cfRule type="expression" dxfId="49" priority="24" stopIfTrue="1">
      <formula>IF($D$15="",TRUE)</formula>
    </cfRule>
  </conditionalFormatting>
  <conditionalFormatting sqref="D16:J16">
    <cfRule type="expression" dxfId="47" priority="23" stopIfTrue="1">
      <formula>IF($D$16="",TRUE)</formula>
    </cfRule>
  </conditionalFormatting>
  <conditionalFormatting sqref="D16:J16">
    <cfRule type="expression" dxfId="45" priority="22" stopIfTrue="1">
      <formula>IF($D$16="",TRUE)</formula>
    </cfRule>
  </conditionalFormatting>
  <conditionalFormatting sqref="D16:J16">
    <cfRule type="expression" dxfId="43" priority="21" stopIfTrue="1">
      <formula>IF($D$16="",TRUE)</formula>
    </cfRule>
  </conditionalFormatting>
  <conditionalFormatting sqref="D16:J16">
    <cfRule type="expression" dxfId="41" priority="20" stopIfTrue="1">
      <formula>IF($D$16="",TRUE)</formula>
    </cfRule>
  </conditionalFormatting>
  <conditionalFormatting sqref="D17:J17">
    <cfRule type="expression" dxfId="39" priority="19" stopIfTrue="1">
      <formula>IF($D$17="",TRUE)</formula>
    </cfRule>
  </conditionalFormatting>
  <conditionalFormatting sqref="D17:J17">
    <cfRule type="expression" dxfId="37" priority="18" stopIfTrue="1">
      <formula>IF($D$17="",TRUE)</formula>
    </cfRule>
  </conditionalFormatting>
  <conditionalFormatting sqref="D17:J17">
    <cfRule type="expression" dxfId="35" priority="17" stopIfTrue="1">
      <formula>IF($D$17="",TRUE)</formula>
    </cfRule>
  </conditionalFormatting>
  <conditionalFormatting sqref="D17:J17">
    <cfRule type="expression" dxfId="33" priority="16" stopIfTrue="1">
      <formula>IF($D$17="",TRUE)</formula>
    </cfRule>
  </conditionalFormatting>
  <conditionalFormatting sqref="D18:J18">
    <cfRule type="expression" dxfId="31" priority="15" stopIfTrue="1">
      <formula>IF($D$18="",TRUE)</formula>
    </cfRule>
  </conditionalFormatting>
  <conditionalFormatting sqref="D18:J18">
    <cfRule type="expression" dxfId="29" priority="14" stopIfTrue="1">
      <formula>IF($D$18="",TRUE)</formula>
    </cfRule>
  </conditionalFormatting>
  <conditionalFormatting sqref="D18:J18">
    <cfRule type="expression" dxfId="27" priority="13" stopIfTrue="1">
      <formula>IF($D$18="",TRUE)</formula>
    </cfRule>
  </conditionalFormatting>
  <conditionalFormatting sqref="D18:J18">
    <cfRule type="expression" dxfId="25" priority="12" stopIfTrue="1">
      <formula>IF($D$18="",TRUE)</formula>
    </cfRule>
  </conditionalFormatting>
  <conditionalFormatting sqref="D18:J18">
    <cfRule type="expression" dxfId="23" priority="11" stopIfTrue="1">
      <formula>IF($D$18="",TRUE)</formula>
    </cfRule>
  </conditionalFormatting>
  <conditionalFormatting sqref="D20:J20">
    <cfRule type="expression" dxfId="21" priority="10" stopIfTrue="1">
      <formula>IF($D$20="",TRUE)</formula>
    </cfRule>
  </conditionalFormatting>
  <conditionalFormatting sqref="D20:J20">
    <cfRule type="expression" dxfId="19" priority="9" stopIfTrue="1">
      <formula>IF($D$20="",TRUE)</formula>
    </cfRule>
  </conditionalFormatting>
  <conditionalFormatting sqref="D20:J20">
    <cfRule type="expression" dxfId="17" priority="8" stopIfTrue="1">
      <formula>IF($D$20="",TRUE)</formula>
    </cfRule>
  </conditionalFormatting>
  <conditionalFormatting sqref="D20:J20">
    <cfRule type="expression" dxfId="15" priority="7" stopIfTrue="1">
      <formula>IF($D$20="",TRUE)</formula>
    </cfRule>
  </conditionalFormatting>
  <conditionalFormatting sqref="D20:J20">
    <cfRule type="expression" dxfId="13" priority="6" stopIfTrue="1">
      <formula>IF($D$20="",TRUE)</formula>
    </cfRule>
  </conditionalFormatting>
  <conditionalFormatting sqref="D21:J21">
    <cfRule type="expression" dxfId="11" priority="5" stopIfTrue="1">
      <formula>IF($D$17="",TRUE)</formula>
    </cfRule>
  </conditionalFormatting>
  <conditionalFormatting sqref="D21:J21">
    <cfRule type="expression" dxfId="9" priority="4" stopIfTrue="1">
      <formula>IF($D$17="",TRUE)</formula>
    </cfRule>
  </conditionalFormatting>
  <conditionalFormatting sqref="D21:J21">
    <cfRule type="expression" dxfId="7" priority="3" stopIfTrue="1">
      <formula>IF($D$17="",TRUE)</formula>
    </cfRule>
  </conditionalFormatting>
  <conditionalFormatting sqref="D21:J21">
    <cfRule type="expression" dxfId="5" priority="2" stopIfTrue="1">
      <formula>IF($D$17="",TRUE)</formula>
    </cfRule>
  </conditionalFormatting>
  <conditionalFormatting sqref="G71:J71">
    <cfRule type="expression" dxfId="3"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P17" sqref="P1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0" t="str">
        <f ca="1">OFFSET(L!$C$1,MATCH("Smelter List"&amp;ADDRESS(ROW(),COLUMN(),4),L!$A:$A,0)-1,SL,,)</f>
        <v>Link to "RMAP Conformant Smelter List"</v>
      </c>
      <c r="K2" s="431"/>
      <c r="L2" s="431"/>
      <c r="M2" s="431"/>
      <c r="N2" s="431"/>
      <c r="O2" s="431"/>
      <c r="P2" s="271"/>
      <c r="Q2" s="272"/>
      <c r="R2" s="273"/>
      <c r="S2" s="273"/>
      <c r="T2" s="273"/>
      <c r="U2" s="203"/>
      <c r="V2" s="203"/>
      <c r="W2" s="204"/>
      <c r="X2" s="203"/>
      <c r="Y2" s="203"/>
      <c r="Z2" s="203"/>
      <c r="AH2" s="184" t="s">
        <v>563</v>
      </c>
    </row>
    <row r="3" spans="1:34" s="25" customFormat="1" ht="274.5" customHeight="1">
      <c r="A3" s="222"/>
      <c r="B3" s="43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2"/>
      <c r="D3" s="432"/>
      <c r="E3" s="432"/>
      <c r="F3" s="274"/>
      <c r="G3" s="433" t="str">
        <f ca="1">OFFSET(L!$C$1,MATCH("General"&amp;"Cpy",L!$A:$A,0)-1,SL,,)</f>
        <v>© 2018 Responsible Minerals Initiative. All rights reserved.</v>
      </c>
      <c r="H3" s="433"/>
      <c r="I3" s="434"/>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450" t="s">
        <v>925</v>
      </c>
      <c r="B5" s="236" t="str">
        <f ca="1">IF(LEN(A5)=0,"",INDEX('Smelter Look-up'!$A:$A,MATCH($A5,'Smelter Look-up'!$E:$E,0)))</f>
        <v>Tungsten</v>
      </c>
      <c r="C5" s="242" t="str">
        <f ca="1">IF(LEN(A5)=0,"",INDEX('Smelter Look-up'!$C:$C,MATCH($A5,'Smelter Look-up'!$E:$E,0)))</f>
        <v>Xiamen Tungsten Co., Ltd.</v>
      </c>
      <c r="D5" s="236"/>
      <c r="E5" s="236" t="str">
        <f ca="1">IF(ISERROR($V5),"",OFFSET('Smelter Look-up'!$D$4,$V5-4,0)&amp;"")</f>
        <v>CHINA</v>
      </c>
      <c r="F5" s="236" t="str">
        <f ca="1">IF(ISERROR($V5),"",OFFSET('Smelter Look-up'!$E$4,$V5-4,0))</f>
        <v>CID002082</v>
      </c>
      <c r="G5" s="236" t="str">
        <f ca="1">IF(C5=$X$4,"Enter smelter details", IF(ISERROR($V5),"",OFFSET('Smelter Look-up'!$F$4,$V5-4,0)))</f>
        <v>RMI</v>
      </c>
      <c r="H5" s="451" t="s">
        <v>15434</v>
      </c>
      <c r="I5" s="238" t="str">
        <f ca="1">IF(ISERROR($V5),"",OFFSET('Smelter Look-up'!$H$4,$V5-4,0))</f>
        <v>Xiamen</v>
      </c>
      <c r="J5" s="238" t="str">
        <f ca="1">IF(ISERROR($V5),"",OFFSET('Smelter Look-up'!$I$4,$V5-4,0))</f>
        <v>Fujian</v>
      </c>
      <c r="K5" s="239" t="s">
        <v>15436</v>
      </c>
      <c r="L5" s="239" t="s">
        <v>15437</v>
      </c>
      <c r="M5" s="239" t="s">
        <v>3046</v>
      </c>
      <c r="N5" s="239" t="s">
        <v>3046</v>
      </c>
      <c r="O5" s="239" t="s">
        <v>3046</v>
      </c>
      <c r="P5" s="239" t="s">
        <v>564</v>
      </c>
      <c r="Q5" s="456" t="s">
        <v>15441</v>
      </c>
      <c r="R5" s="236" t="str">
        <f ca="1">IF(ISERROR($V5),"",OFFSET('Smelter Look-up'!$C$4,$V5-4,0)&amp;"")</f>
        <v>Xiamen Tungsten Co., Ltd.</v>
      </c>
      <c r="S5" s="250" t="str">
        <f t="shared" ref="S5:S58" ca="1" si="0">IF(B5="","",IF(ISERROR(MATCH($E5,CL,0)),"Unknown",INDIRECT("'C'!$A$"&amp;MATCH($E5,CL,0)+1)))</f>
        <v>CN</v>
      </c>
      <c r="T5" s="250" t="str">
        <f ca="1">IF(B5="","",IF(ISERROR(MATCH($J5,SorP!$B$1:$B$6230,0)),"",INDIRECT("'SorP'!$A$"&amp;MATCH($J5,SorP!$B$1:$B$6230,0))))</f>
        <v>CN-35</v>
      </c>
      <c r="U5" s="280"/>
      <c r="V5" s="281">
        <f ca="1">IF(C5="",NA(),MATCH($B5&amp;$C5,'Smelter Look-up'!$J:$J,0))</f>
        <v>571</v>
      </c>
      <c r="W5" s="282"/>
      <c r="X5" s="282">
        <f t="shared" ref="X5:X58" ca="1" si="1">IF(AND(C5="Smelter not listed",OR(LEN(D5)=0,LEN(E5)=0)),1,0)</f>
        <v>0</v>
      </c>
      <c r="Y5" s="282"/>
      <c r="Z5" s="282"/>
      <c r="AB5" s="284" t="str">
        <f t="shared" ref="AB5:AB58" ca="1" si="2">B5&amp;C5</f>
        <v>TungstenXiamen Tungsten Co., Ltd.</v>
      </c>
    </row>
    <row r="6" spans="1:34" s="283" customFormat="1" ht="76.5">
      <c r="A6" s="450" t="s">
        <v>917</v>
      </c>
      <c r="B6" s="236" t="str">
        <f ca="1">IF(LEN(A6)=0,"",INDEX('Smelter Look-up'!$A:$A,MATCH($A6,'Smelter Look-up'!$E:$E,0)))</f>
        <v>Tungsten</v>
      </c>
      <c r="C6" s="242" t="str">
        <f ca="1">IF(LEN(A6)=0,"",INDEX('Smelter Look-up'!$C:$C,MATCH($A6,'Smelter Look-up'!$E:$E,0)))</f>
        <v>Global Tungsten &amp; Powders Corp.</v>
      </c>
      <c r="D6" s="236"/>
      <c r="E6" s="236" t="str">
        <f ca="1">IF(ISERROR($V6),"",OFFSET('Smelter Look-up'!$D$4,$V6-4,0)&amp;"")</f>
        <v>UNITED STATES OF AMERICA</v>
      </c>
      <c r="F6" s="236" t="str">
        <f ca="1">IF(ISERROR($V6),"",OFFSET('Smelter Look-up'!$E$4,$V6-4,0))</f>
        <v>CID000568</v>
      </c>
      <c r="G6" s="236" t="str">
        <f ca="1">IF(C6=$X$4,"Enter smelter details", IF(ISERROR($V6),"",OFFSET('Smelter Look-up'!$F$4,$V6-4,0)))</f>
        <v>RMI</v>
      </c>
      <c r="H6" s="452" t="s">
        <v>15435</v>
      </c>
      <c r="I6" s="238" t="str">
        <f ca="1">IF(ISERROR($V6),"",OFFSET('Smelter Look-up'!$H$4,$V6-4,0))</f>
        <v>Towanda</v>
      </c>
      <c r="J6" s="238" t="str">
        <f ca="1">IF(ISERROR($V6),"",OFFSET('Smelter Look-up'!$I$4,$V6-4,0))</f>
        <v>Pennsylvania</v>
      </c>
      <c r="K6" s="453" t="s">
        <v>15438</v>
      </c>
      <c r="L6" s="454" t="s">
        <v>15439</v>
      </c>
      <c r="M6" s="455" t="s">
        <v>3046</v>
      </c>
      <c r="N6" s="455" t="s">
        <v>15440</v>
      </c>
      <c r="O6" s="455" t="s">
        <v>15440</v>
      </c>
      <c r="P6" s="239" t="s">
        <v>564</v>
      </c>
      <c r="Q6" s="456" t="s">
        <v>15441</v>
      </c>
      <c r="R6" s="236" t="str">
        <f ca="1">IF(ISERROR($V6),"",OFFSET('Smelter Look-up'!$C$4,$V6-4,0)&amp;"")</f>
        <v>Global Tungsten &amp; Powders Corp.</v>
      </c>
      <c r="S6" s="250" t="str">
        <f t="shared" ca="1" si="0"/>
        <v>US</v>
      </c>
      <c r="T6" s="250" t="str">
        <f ca="1">IF(B6="","",IF(ISERROR(MATCH($J6,SorP!$B$1:$B$6230,0)),"",INDIRECT("'SorP'!$A$"&amp;MATCH($J6,SorP!$B$1:$B$6230,0))))</f>
        <v>US-PA</v>
      </c>
      <c r="U6" s="280"/>
      <c r="V6" s="281">
        <f ca="1">IF(C6="",NA(),MATCH($B6&amp;$C6,'Smelter Look-up'!$J:$J,0))</f>
        <v>528</v>
      </c>
      <c r="W6" s="282"/>
      <c r="X6" s="282">
        <f t="shared" ca="1" si="1"/>
        <v>0</v>
      </c>
      <c r="Y6" s="282"/>
      <c r="Z6" s="282"/>
      <c r="AB6" s="284" t="str">
        <f t="shared" ca="1" si="2"/>
        <v>TungstenGlobal Tungsten &amp; Powders Corp.</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93" priority="19" stopIfTrue="1">
      <formula>IF(B5="",TRUE)</formula>
    </cfRule>
    <cfRule type="expression" dxfId="92" priority="30" stopIfTrue="1">
      <formula>IF(AND(COUNTIF(MetalSmelter,B5&amp;C5)=0,LEN(C5)&gt;0), TRUE, FALSE)</formula>
    </cfRule>
  </conditionalFormatting>
  <conditionalFormatting sqref="D5:D2493">
    <cfRule type="expression" dxfId="91" priority="13" stopIfTrue="1">
      <formula>IF(AND(LEN($C5) &gt;0, ($C5 &lt;&gt; "Smelter Not Listed")),1,0)</formula>
    </cfRule>
    <cfRule type="expression" dxfId="90" priority="38" stopIfTrue="1">
      <formula>IF(AND(D5="",$C5=$X$4),TRUE)</formula>
    </cfRule>
    <cfRule type="expression" dxfId="89" priority="39" stopIfTrue="1">
      <formula>IF(FIND("!",D5),TRUE)</formula>
    </cfRule>
  </conditionalFormatting>
  <conditionalFormatting sqref="G5:G2493">
    <cfRule type="expression" dxfId="88" priority="40" stopIfTrue="1">
      <formula>IF(FIND("Enter smelter details",G5),TRUE)</formula>
    </cfRule>
  </conditionalFormatting>
  <conditionalFormatting sqref="E5:E2493 R5:R2494">
    <cfRule type="expression" dxfId="87" priority="26" stopIfTrue="1">
      <formula>IF(AND(E5="",$C5=$X$4),TRUE)</formula>
    </cfRule>
    <cfRule type="expression" dxfId="86" priority="27" stopIfTrue="1">
      <formula>IF(FIND("!",E5),TRUE)</formula>
    </cfRule>
  </conditionalFormatting>
  <conditionalFormatting sqref="F5:F2493">
    <cfRule type="expression" dxfId="85" priority="17" stopIfTrue="1">
      <formula>IF(AND(LEN($A5)&gt;0,$A5&lt;&gt;$F5),TRUE,FALSE)</formula>
    </cfRule>
  </conditionalFormatting>
  <conditionalFormatting sqref="C5:C2493">
    <cfRule type="expression" dxfId="84" priority="16" stopIfTrue="1">
      <formula>IF(AND(B5&lt;&gt;"",C5=""),TRUE)</formula>
    </cfRule>
  </conditionalFormatting>
  <conditionalFormatting sqref="H5">
    <cfRule type="expression" dxfId="1" priority="1" stopIfTrue="1">
      <formula>IF(FIND("Enter smelter details",H5),TRUE)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5" t="str">
        <f ca="1">OFFSET(L!$C$1,MATCH("Checker"&amp;ADDRESS(ROW(),COLUMN(),4),L!$A:$A,0)-1,SL,,)</f>
        <v>To ensure all required fields have been populated before submitting to your customers review form for any line items highlighted in red</v>
      </c>
      <c r="B1" s="435"/>
      <c r="C1" s="435"/>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8.25">
      <c r="A4" s="107" t="str">
        <f ca="1">Declaration!B8</f>
        <v>Company Name (*):</v>
      </c>
      <c r="B4" s="106" t="str">
        <f>Declaration!D8</f>
        <v>TowerJazz Semiconductor LTD.</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8.25">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8.25">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8.25">
      <c r="A7" s="107" t="str">
        <f ca="1">Declaration!B15</f>
        <v>Contact Name (*):</v>
      </c>
      <c r="B7" s="106" t="str">
        <f>Declaration!D15</f>
        <v>Moti Amsalem</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8.25">
      <c r="A8" s="107" t="str">
        <f ca="1">Declaration!B16</f>
        <v>Email – Contact (*):</v>
      </c>
      <c r="B8" s="106" t="str">
        <f>Declaration!D16</f>
        <v>cammmh@towersemi.com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8.25">
      <c r="A9" s="107" t="str">
        <f ca="1">Declaration!B17</f>
        <v>Phone – Contact (*):</v>
      </c>
      <c r="B9" s="106" t="str">
        <f>Declaration!D17</f>
        <v>972-4-6506259</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8.25">
      <c r="A10" s="107" t="str">
        <f ca="1">Declaration!B18</f>
        <v>Authorizer (*):</v>
      </c>
      <c r="B10" s="106" t="str">
        <f>Declaration!D18</f>
        <v>Moti Amsalem</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8.25">
      <c r="A11" s="107" t="str">
        <f ca="1">Declaration!B20</f>
        <v>Email - Authorizer (*):</v>
      </c>
      <c r="B11" s="106" t="str">
        <f>Declaration!D20</f>
        <v>cammmh@towersemi.com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8.25">
      <c r="A12" s="107" t="str">
        <f ca="1">Declaration!B21</f>
        <v>Phone - Authorizer (*):</v>
      </c>
      <c r="B12" s="106" t="str">
        <f>Declaration!D21</f>
        <v>972-4-6506259</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8.25">
      <c r="A13" s="107" t="str">
        <f ca="1">Declaration!B22</f>
        <v>Effective Date (*):</v>
      </c>
      <c r="B13" s="108">
        <f>Declaration!D22</f>
        <v>43291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5.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8.25">
      <c r="A16" s="107" t="str">
        <f ca="1">Declaration!B27</f>
        <v xml:space="preserve">Tin  </v>
      </c>
      <c r="B16" s="106" t="str">
        <f>Declaration!D27</f>
        <v>No</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8.25">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8.25">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8.25">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8.25">
      <c r="A21" s="107" t="str">
        <f ca="1">Declaration!B33</f>
        <v xml:space="preserve">Tin  </v>
      </c>
      <c r="B21" s="106">
        <f>IF($B$16="Yes",Declaration!D33,0)</f>
        <v>0</v>
      </c>
      <c r="C21" s="106" t="str">
        <f t="shared" ca="1" si="3"/>
        <v>Complete</v>
      </c>
      <c r="D21" s="114" t="str">
        <f>IF(H21=1,"Click here to answer question 2 for Tin","")</f>
        <v/>
      </c>
      <c r="E21" s="88" t="s">
        <v>930</v>
      </c>
      <c r="F21" s="111">
        <f>IF(B$16="No",0,1)</f>
        <v>0</v>
      </c>
      <c r="G21" s="85">
        <f t="shared" si="4"/>
        <v>1</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8.25">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8.25">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8.25">
      <c r="A26" s="107" t="str">
        <f ca="1">Declaration!B39</f>
        <v xml:space="preserve">Tin  </v>
      </c>
      <c r="B26" s="106">
        <f>IF(AND($B$16="Yes",$B$21="Yes"),Declaration!D39,0)</f>
        <v>0</v>
      </c>
      <c r="C26" s="106" t="str">
        <f t="shared" ca="1" si="3"/>
        <v>Complete</v>
      </c>
      <c r="D26" s="114" t="str">
        <f>IF(H26=1,"Click here to answer question 3 for Tin","")</f>
        <v/>
      </c>
      <c r="E26" s="88" t="s">
        <v>930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8.25">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t="str">
        <f>IF(AND($B$18="Yes",$B$23="Yes"),Declaration!D41,0)</f>
        <v>No</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8.25">
      <c r="A31" s="107" t="str">
        <f ca="1">Declaration!B45</f>
        <v xml:space="preserve">Tin  </v>
      </c>
      <c r="B31" s="106">
        <f>IF(AND($B$16="Yes",$B$21="Yes"),Declaration!D45,0)</f>
        <v>0</v>
      </c>
      <c r="C31" s="106" t="str">
        <f ca="1">IF(H31=1,J31,I31)</f>
        <v>Complete</v>
      </c>
      <c r="D31" s="114" t="str">
        <f>IF(H31=1,"Click here to answer question 4 for Tin","")</f>
        <v/>
      </c>
      <c r="E31" s="88" t="s">
        <v>1452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8.25">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t="str">
        <f>IF(AND($B$18="Yes",$B$23="Yes"),Declaration!D47,0)</f>
        <v>Yes</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5.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5.5">
      <c r="A36" s="107" t="str">
        <f ca="1">Declaration!B51</f>
        <v xml:space="preserve">Tin  </v>
      </c>
      <c r="B36" s="106">
        <f>IF(AND($B$16="Yes",$B$21="Yes"),Declaration!D51,0)</f>
        <v>0</v>
      </c>
      <c r="C36" s="106" t="str">
        <f ca="1">IF(H36=1,J36,I36)</f>
        <v>Complete</v>
      </c>
      <c r="D36" s="112" t="str">
        <f>IF(H36=1,"Click here to answer question 5 for Tin","")</f>
        <v/>
      </c>
      <c r="E36" s="88" t="s">
        <v>929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5.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5.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
      <c r="A41" s="107" t="str">
        <f ca="1">Declaration!B57</f>
        <v xml:space="preserve">Tin  </v>
      </c>
      <c r="B41" s="106">
        <f>IF(AND($B$16="Yes",$B$21="Yes"),Declaration!D57,0)</f>
        <v>0</v>
      </c>
      <c r="C41" s="106" t="str">
        <f t="shared" ca="1" si="3"/>
        <v>Complete</v>
      </c>
      <c r="D41" s="114" t="str">
        <f>IF(H41=1,"Click here to answer question 6 for Tin","")</f>
        <v/>
      </c>
      <c r="E41" s="88" t="s">
        <v>1448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8.25">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8.25">
      <c r="A46" s="107" t="str">
        <f ca="1">Declaration!B63</f>
        <v xml:space="preserve">Tin  </v>
      </c>
      <c r="B46" s="106">
        <f>IF(AND($B$16="Yes",$B$21="Yes"),Declaration!D63,0)</f>
        <v>0</v>
      </c>
      <c r="C46" s="106" t="str">
        <f t="shared" ca="1" si="3"/>
        <v>Complete</v>
      </c>
      <c r="D46" s="115" t="str">
        <f>IF(H46=1,"Click here to answer question 7 for Tin","")</f>
        <v/>
      </c>
      <c r="E46" s="88" t="s">
        <v>930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8.25">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8.25">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8.25">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www.towerjazz.com</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8.25">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8.25">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8.25">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25" hidden="1">
      <c r="A57" s="106"/>
      <c r="B57" s="106"/>
      <c r="C57" s="106"/>
      <c r="D57" s="112"/>
      <c r="E57" s="88"/>
      <c r="F57" s="111"/>
      <c r="G57" s="85"/>
      <c r="H57" s="86"/>
      <c r="I57" s="189"/>
    </row>
    <row r="58" spans="1:12" ht="38.25">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8.25">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8.25">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8.25">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8.25">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8.25">
      <c r="A63" s="106" t="s">
        <v>2170</v>
      </c>
      <c r="B63" s="106"/>
      <c r="C63" s="106" t="str">
        <f>IF(K63=1,L63,IF(B16="No","Not Required",IF(G63=0,I63,J63)))</f>
        <v>Not Required</v>
      </c>
      <c r="D63" s="112" t="str">
        <f ca="1">IF(H63=0,"","Click here to provide smelter information")</f>
        <v/>
      </c>
      <c r="E63" s="88" t="s">
        <v>930</v>
      </c>
      <c r="F63" s="111">
        <f>F26</f>
        <v>0</v>
      </c>
      <c r="G63" s="85">
        <f ca="1">IF(AND(COUNTIF(SmelterIdetifiedForMetal,"Tin")&gt;0,COUNTIF('Smelter List'!AB$5:AB$2493,"Tin?*")&gt;0),0,1)</f>
        <v>1</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8.25">
      <c r="A64" s="106" t="s">
        <v>2171</v>
      </c>
      <c r="B64" s="106"/>
      <c r="C64" s="106" t="str">
        <f>IF(K64=1,L64,IF(B17="No","Not Required",IF(G64=0,I64,J64)))</f>
        <v>Not Required</v>
      </c>
      <c r="D64" s="112" t="str">
        <f ca="1">IF(H64=0,"","Click here to provide smelter information")</f>
        <v/>
      </c>
      <c r="E64" s="88" t="s">
        <v>930</v>
      </c>
      <c r="F64" s="111">
        <f>F27</f>
        <v>0</v>
      </c>
      <c r="G64" s="85">
        <f ca="1">IF(AND(COUNTIF(SmelterIdetifiedForMetal,"Gold")&gt;0,COUNTIF('Smelter List'!AB$5:AB$2493,"Gold?*")&gt;0),0,1)</f>
        <v>1</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8.25">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83" priority="337" stopIfTrue="1">
      <formula>IF(F62=0,TRUE)</formula>
    </cfRule>
  </conditionalFormatting>
  <conditionalFormatting sqref="A5:A13">
    <cfRule type="expression" dxfId="82" priority="45" stopIfTrue="1">
      <formula>$F5=0</formula>
    </cfRule>
    <cfRule type="expression" dxfId="81" priority="46" stopIfTrue="1">
      <formula>AND($F5=1,$G5=0)</formula>
    </cfRule>
    <cfRule type="expression" dxfId="80" priority="47" stopIfTrue="1">
      <formula>AND($F5&lt;&gt;0,$G5&lt;&gt;0)</formula>
    </cfRule>
  </conditionalFormatting>
  <conditionalFormatting sqref="B61">
    <cfRule type="expression" dxfId="79" priority="43" stopIfTrue="1">
      <formula>$F61=0</formula>
    </cfRule>
  </conditionalFormatting>
  <conditionalFormatting sqref="D52">
    <cfRule type="expression" dxfId="78" priority="354" stopIfTrue="1">
      <formula>$H$52=0</formula>
    </cfRule>
  </conditionalFormatting>
  <conditionalFormatting sqref="B63">
    <cfRule type="expression" dxfId="77" priority="35" stopIfTrue="1">
      <formula>IF(F63=0,TRUE)</formula>
    </cfRule>
  </conditionalFormatting>
  <conditionalFormatting sqref="B64">
    <cfRule type="expression" dxfId="76" priority="31" stopIfTrue="1">
      <formula>IF(F64=0,TRUE)</formula>
    </cfRule>
  </conditionalFormatting>
  <conditionalFormatting sqref="B65:B66">
    <cfRule type="expression" dxfId="75" priority="27" stopIfTrue="1">
      <formula>IF(F65=0,TRUE)</formula>
    </cfRule>
  </conditionalFormatting>
  <conditionalFormatting sqref="C66">
    <cfRule type="expression" dxfId="74" priority="9" stopIfTrue="1">
      <formula>C66="Not Required"</formula>
    </cfRule>
    <cfRule type="expression" dxfId="73" priority="17" stopIfTrue="1">
      <formula>OR(C66="Complete",C66="填写", C66="記入",C66="완료",C66="Complétez",C66="Concluído",C66="Vollständig",C66="Completare",C66="Doldurun")</formula>
    </cfRule>
  </conditionalFormatting>
  <conditionalFormatting sqref="A66">
    <cfRule type="expression" dxfId="72" priority="10" stopIfTrue="1">
      <formula>C66="Not Required"</formula>
    </cfRule>
    <cfRule type="expression" dxfId="7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70" priority="343" stopIfTrue="1">
      <formula>$F4=0</formula>
    </cfRule>
    <cfRule type="expression" dxfId="69" priority="344" stopIfTrue="1">
      <formula>$H4=0</formula>
    </cfRule>
    <cfRule type="expression" dxfId="68" priority="345" stopIfTrue="1">
      <formula>$H4=1</formula>
    </cfRule>
  </conditionalFormatting>
  <conditionalFormatting sqref="C66 A66">
    <cfRule type="expression" dxfId="67" priority="7" stopIfTrue="1">
      <formula>IF(AND($F$66=1,$G$66=1),TRUE,FALSE)</formula>
    </cfRule>
  </conditionalFormatting>
  <conditionalFormatting sqref="A62:A65">
    <cfRule type="expression" dxfId="66" priority="4" stopIfTrue="1">
      <formula>$F62=0</formula>
    </cfRule>
    <cfRule type="expression" dxfId="65" priority="5" stopIfTrue="1">
      <formula>$H62=0</formula>
    </cfRule>
    <cfRule type="expression" dxfId="64" priority="6" stopIfTrue="1">
      <formula>$H62=1</formula>
    </cfRule>
  </conditionalFormatting>
  <conditionalFormatting sqref="C62:C65">
    <cfRule type="expression" dxfId="63" priority="1" stopIfTrue="1">
      <formula>$F62=0</formula>
    </cfRule>
    <cfRule type="expression" dxfId="62" priority="2" stopIfTrue="1">
      <formula>$H62=0</formula>
    </cfRule>
    <cfRule type="expression" dxfId="6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7" t="str">
        <f ca="1">OFFSET(L!$C$1,MATCH("Product List"&amp;ADDRESS(ROW(),COLUMN(),4),L!$A:$A,0)-1,SL,,)</f>
        <v>Completion required only if reporting level "Product (or List of Products)" selected on the 'Declaration' worksheet.</v>
      </c>
      <c r="B1" s="438"/>
      <c r="C1" s="438"/>
      <c r="D1" s="438"/>
      <c r="E1" s="150"/>
    </row>
    <row r="2" spans="1:6">
      <c r="A2" s="29"/>
      <c r="B2" s="152"/>
      <c r="C2" s="152"/>
      <c r="D2"/>
      <c r="E2" s="30"/>
    </row>
    <row r="3" spans="1:6">
      <c r="A3" s="29"/>
      <c r="B3" s="152"/>
      <c r="C3" s="152"/>
      <c r="D3" s="152"/>
      <c r="E3" s="30"/>
    </row>
    <row r="4" spans="1:6" ht="15.75" customHeight="1">
      <c r="A4" s="29"/>
      <c r="B4" s="436" t="s">
        <v>1026</v>
      </c>
      <c r="C4" s="436"/>
      <c r="D4" s="436"/>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39" t="str">
        <f ca="1">OFFSET(L!$C$1,MATCH("General"&amp;"Cpy",L!$A:$A,0)-1,SL,,)</f>
        <v>© 2018 Responsible Minerals Initiative. All rights reserved.</v>
      </c>
      <c r="C1001" s="439"/>
      <c r="D1001" s="439"/>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0"/>
      <c r="C1" s="440"/>
      <c r="D1" s="440"/>
      <c r="E1" s="440"/>
      <c r="F1" s="440"/>
      <c r="G1" s="440"/>
    </row>
    <row r="2" spans="1:16">
      <c r="A2" s="441"/>
      <c r="B2" s="441"/>
      <c r="C2" s="441"/>
      <c r="D2" s="441"/>
      <c r="E2" s="441"/>
      <c r="F2" s="441"/>
      <c r="G2" s="441"/>
      <c r="H2" s="441"/>
      <c r="I2" s="441"/>
    </row>
    <row r="3" spans="1:16">
      <c r="A3" s="441"/>
      <c r="B3" s="441"/>
      <c r="C3" s="441"/>
      <c r="D3" s="441"/>
      <c r="E3" s="441"/>
      <c r="F3" s="441"/>
      <c r="G3" s="441"/>
      <c r="H3" s="441"/>
      <c r="I3" s="441"/>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6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2.7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8.5">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48.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48.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1.2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99.7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14">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48.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14">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56.5">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13.7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14">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85.5">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99.7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75.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2.7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2.7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28.2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57">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42.75">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2.7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42.75">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8.5">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2.7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8.5">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28.5">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7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Amsalem Moti</cp:lastModifiedBy>
  <cp:lastPrinted>2015-04-21T20:47:43Z</cp:lastPrinted>
  <dcterms:created xsi:type="dcterms:W3CDTF">2010-06-21T21:00:23Z</dcterms:created>
  <dcterms:modified xsi:type="dcterms:W3CDTF">2018-07-10T10:35:21Z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